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CB76"/>
  <workbookPr codeName="ThisWorkbook"/>
  <bookViews>
    <workbookView xWindow="65521" yWindow="6915" windowWidth="12120" windowHeight="2640" tabRatio="938" firstSheet="3" activeTab="12"/>
  </bookViews>
  <sheets>
    <sheet name="FERC Revisions @ 12-15-09" sheetId="1" state="hidden" r:id="rId1"/>
    <sheet name="TCOS" sheetId="2" r:id="rId2"/>
    <sheet name="WS A  - RB Support " sheetId="3" r:id="rId3"/>
    <sheet name="WS B ADIT &amp; ITC" sheetId="4" r:id="rId4"/>
    <sheet name="WS C  - Working Capital" sheetId="5" r:id="rId5"/>
    <sheet name="WS D IPP Credits" sheetId="6" r:id="rId6"/>
    <sheet name="WS E Rev Credits" sheetId="7" r:id="rId7"/>
    <sheet name="WS F Misc Exp" sheetId="8" r:id="rId8"/>
    <sheet name="WS G  State Tax Rate" sheetId="9" r:id="rId9"/>
    <sheet name="WS H-p1 Other Taxes" sheetId="10" r:id="rId10"/>
    <sheet name="WS H-p2 Detail of Tax Amts" sheetId="11" r:id="rId11"/>
    <sheet name="WS I RESERVED" sheetId="12" r:id="rId12"/>
    <sheet name="WS J PROJECTED RTEP RR" sheetId="13" r:id="rId13"/>
    <sheet name="WS K TRUE-UP RTEP RR" sheetId="14" r:id="rId14"/>
    <sheet name="WS L RESERVED" sheetId="15" r:id="rId15"/>
    <sheet name="WS M - Avg Cap Structure" sheetId="16" r:id="rId16"/>
    <sheet name="WS N - Sale of Plant Held" sheetId="17" r:id="rId17"/>
    <sheet name="Worksheet O" sheetId="18" r:id="rId18"/>
    <sheet name="WS P Dep. Rates" sheetId="19" r:id="rId19"/>
    <sheet name="WS Q Cap Structure" sheetId="20" r:id="rId20"/>
    <sheet name="WS R Interest" sheetId="21" r:id="rId21"/>
  </sheets>
  <externalReferences>
    <externalReference r:id="rId24"/>
    <externalReference r:id="rId25"/>
  </externalReferences>
  <definedNames>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 localSheetId="15">#REF!</definedName>
    <definedName name="allocator">#REF!</definedName>
    <definedName name="allocators" localSheetId="15">#REF!</definedName>
    <definedName name="allocators">#REF!</definedName>
    <definedName name="allocatorsSWP" localSheetId="15">#REF!</definedName>
    <definedName name="allocatorsSWP">#REF!</definedName>
    <definedName name="allocatorSWP1">'[1]SWP TCOS 2008 13 Month'!$I$317:$J$328</definedName>
    <definedName name="APCO">#REF!</definedName>
    <definedName name="APCo_Hist_Allocators" localSheetId="10">#REF!</definedName>
    <definedName name="APCo_Hist_Allocators">'TCOS'!#REF!</definedName>
    <definedName name="APCo_Proj_Allocators" localSheetId="10">#REF!</definedName>
    <definedName name="APCo_Proj_Allocators">#REF!</definedName>
    <definedName name="APCo_TU_Allocators" localSheetId="10">#REF!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10">#REF!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0">#REF!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10">'[2]APCo Historic TCOS'!$J$100</definedName>
    <definedName name="NP_h">'TCOS'!$J$102</definedName>
    <definedName name="NP_h1">#REF!</definedName>
    <definedName name="NPh" localSheetId="10">#REF!</definedName>
    <definedName name="NPh">'TCOS'!$J$102</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'FERC Revisions @ 12-15-09'!$A$1:$N$70</definedName>
    <definedName name="_xlnm.Print_Area" localSheetId="1">'TCOS'!$A$1:$L$392</definedName>
    <definedName name="_xlnm.Print_Area" localSheetId="17">'Worksheet O'!$A$1:$D$35</definedName>
    <definedName name="_xlnm.Print_Area" localSheetId="2">'WS A  - RB Support '!$A$1:$G$99</definedName>
    <definedName name="_xlnm.Print_Area" localSheetId="3">'WS B ADIT &amp; ITC'!$A$1:$I$54</definedName>
    <definedName name="_xlnm.Print_Area" localSheetId="4">'WS C  - Working Capital'!$A$1:$L$78</definedName>
    <definedName name="_xlnm.Print_Area" localSheetId="5">'WS D IPP Credits'!$A$1:$E$26</definedName>
    <definedName name="_xlnm.Print_Area" localSheetId="6">'WS E Rev Credits'!$A$1:$K$32</definedName>
    <definedName name="_xlnm.Print_Area" localSheetId="7">'WS F Misc Exp'!$A$1:$G$71</definedName>
    <definedName name="_xlnm.Print_Area" localSheetId="8">'WS G  State Tax Rate'!$A$1:$H$32</definedName>
    <definedName name="_xlnm.Print_Area" localSheetId="9">'WS H-p1 Other Taxes'!$A$1:$M$86</definedName>
    <definedName name="_xlnm.Print_Area" localSheetId="10">'WS H-p2 Detail of Tax Amts'!$A$1:$G$95</definedName>
    <definedName name="_xlnm.Print_Area" localSheetId="11">'WS I RESERVED'!$A$1:$J$4</definedName>
    <definedName name="_xlnm.Print_Area" localSheetId="12">'WS J PROJECTED RTEP RR'!$A$1:$O$173</definedName>
    <definedName name="_xlnm.Print_Area" localSheetId="13">'WS K TRUE-UP RTEP RR'!$A$1:$P$167</definedName>
    <definedName name="_xlnm.Print_Area" localSheetId="14">'WS L RESERVED'!$A$1:$F$7</definedName>
    <definedName name="_xlnm.Print_Area" localSheetId="15">'WS M - Avg Cap Structure'!$A$1:$I$79</definedName>
    <definedName name="_xlnm.Print_Area" localSheetId="16">'WS N - Sale of Plant Held'!$A$1:$U$33</definedName>
    <definedName name="_xlnm.Print_Area" localSheetId="18">'WS P Dep. Rates'!$A$1:$F$35</definedName>
    <definedName name="_xlnm.Print_Area" localSheetId="19">'WS Q Cap Structure'!$A$1:$J$235</definedName>
    <definedName name="_xlnm.Print_Titles" localSheetId="2">'WS A  - RB Support '!$2:$9</definedName>
    <definedName name="_xlnm.Print_Titles" localSheetId="4">'WS C  - Working Capital'!$1:$7</definedName>
    <definedName name="_xlnm.Print_Titles" localSheetId="9">'WS H-p1 Other Taxes'!$1:$5</definedName>
    <definedName name="_xlnm.Print_Titles" localSheetId="10">'WS H-p2 Detail of Tax Amts'!$1:$4</definedName>
    <definedName name="_xlnm.Print_Titles" localSheetId="18">'WS P Dep. Rates'!$3:$9</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0">#REF!</definedName>
    <definedName name="PSO_Proj_Allocators">#REF!</definedName>
    <definedName name="PSOallocatorsP" localSheetId="15">#REF!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7" hidden="1">'Worksheet O'!#REF!</definedName>
    <definedName name="Z_3768C7C8_9953_11DA_B318_000FB55D51DC_.wvu.PrintArea" localSheetId="2" hidden="1">'WS A  - RB Support '!#REF!</definedName>
    <definedName name="Z_3768C7C8_9953_11DA_B318_000FB55D51DC_.wvu.PrintArea" localSheetId="4" hidden="1">'WS C  - Working Capital'!$A$8:$N$78</definedName>
    <definedName name="Z_3768C7C8_9953_11DA_B318_000FB55D51DC_.wvu.PrintTitles" localSheetId="17" hidden="1">'Worksheet O'!#REF!</definedName>
    <definedName name="Z_3768C7C8_9953_11DA_B318_000FB55D51DC_.wvu.PrintTitles" localSheetId="2" hidden="1">'WS A  - RB Support '!#REF!</definedName>
    <definedName name="Z_3768C7C8_9953_11DA_B318_000FB55D51DC_.wvu.PrintTitles" localSheetId="4" hidden="1">'WS C  - Working Capital'!#REF!</definedName>
    <definedName name="Z_3768C7C8_9953_11DA_B318_000FB55D51DC_.wvu.Rows" localSheetId="17" hidden="1">'Worksheet O'!#REF!</definedName>
    <definedName name="Z_3768C7C8_9953_11DA_B318_000FB55D51DC_.wvu.Rows" localSheetId="2" hidden="1">'WS A  - RB Support '!#REF!</definedName>
    <definedName name="Z_3768C7C8_9953_11DA_B318_000FB55D51DC_.wvu.Rows" localSheetId="4" hidden="1">'WS C  - Working Capital'!#REF!</definedName>
    <definedName name="Z_3BDD6235_B127_4929_8311_BDAF7BB89818_.wvu.PrintArea" localSheetId="17" hidden="1">'Worksheet O'!#REF!</definedName>
    <definedName name="Z_3BDD6235_B127_4929_8311_BDAF7BB89818_.wvu.PrintArea" localSheetId="2" hidden="1">'WS A  - RB Support '!#REF!</definedName>
    <definedName name="Z_3BDD6235_B127_4929_8311_BDAF7BB89818_.wvu.PrintArea" localSheetId="4" hidden="1">'WS C  - Working Capital'!$A$8:$N$78</definedName>
    <definedName name="Z_3BDD6235_B127_4929_8311_BDAF7BB89818_.wvu.PrintTitles" localSheetId="17" hidden="1">'Worksheet O'!#REF!</definedName>
    <definedName name="Z_3BDD6235_B127_4929_8311_BDAF7BB89818_.wvu.PrintTitles" localSheetId="2" hidden="1">'WS A  - RB Support '!#REF!</definedName>
    <definedName name="Z_3BDD6235_B127_4929_8311_BDAF7BB89818_.wvu.PrintTitles" localSheetId="4" hidden="1">'WS C  - Working Capital'!#REF!</definedName>
    <definedName name="Z_3BDD6235_B127_4929_8311_BDAF7BB89818_.wvu.Rows" localSheetId="17" hidden="1">'Worksheet O'!#REF!</definedName>
    <definedName name="Z_3BDD6235_B127_4929_8311_BDAF7BB89818_.wvu.Rows" localSheetId="2" hidden="1">'WS A  - RB Support '!#REF!</definedName>
    <definedName name="Z_3BDD6235_B127_4929_8311_BDAF7BB89818_.wvu.Rows" localSheetId="4" hidden="1">'WS C  - Working Capital'!#REF!</definedName>
    <definedName name="Z_B0241363_5C8A_48FC_89A6_56D55586BABE_.wvu.PrintArea" localSheetId="17" hidden="1">'Worksheet O'!#REF!</definedName>
    <definedName name="Z_B0241363_5C8A_48FC_89A6_56D55586BABE_.wvu.PrintArea" localSheetId="2" hidden="1">'WS A  - RB Support '!#REF!</definedName>
    <definedName name="Z_B0241363_5C8A_48FC_89A6_56D55586BABE_.wvu.PrintArea" localSheetId="4" hidden="1">'WS C  - Working Capital'!$A$8:$N$78</definedName>
    <definedName name="Z_B0241363_5C8A_48FC_89A6_56D55586BABE_.wvu.PrintTitles" localSheetId="17" hidden="1">'Worksheet O'!#REF!</definedName>
    <definedName name="Z_B0241363_5C8A_48FC_89A6_56D55586BABE_.wvu.PrintTitles" localSheetId="2" hidden="1">'WS A  - RB Support '!#REF!</definedName>
    <definedName name="Z_B0241363_5C8A_48FC_89A6_56D55586BABE_.wvu.PrintTitles" localSheetId="4" hidden="1">'WS C  - Working Capital'!#REF!</definedName>
    <definedName name="Z_B0241363_5C8A_48FC_89A6_56D55586BABE_.wvu.Rows" localSheetId="17" hidden="1">'Worksheet O'!#REF!</definedName>
    <definedName name="Z_B0241363_5C8A_48FC_89A6_56D55586BABE_.wvu.Rows" localSheetId="2" hidden="1">'WS A  - RB Support '!#REF!</definedName>
    <definedName name="Z_B0241363_5C8A_48FC_89A6_56D55586BABE_.wvu.Rows" localSheetId="4" hidden="1">'WS C  - Working Capital'!#REF!</definedName>
    <definedName name="Z_C0EA0F9F_7310_4201_82C9_7B8FC8DB9137_.wvu.PrintArea" localSheetId="17" hidden="1">'Worksheet O'!#REF!</definedName>
    <definedName name="Z_C0EA0F9F_7310_4201_82C9_7B8FC8DB9137_.wvu.PrintArea" localSheetId="2" hidden="1">'WS A  - RB Support '!#REF!</definedName>
    <definedName name="Z_C0EA0F9F_7310_4201_82C9_7B8FC8DB9137_.wvu.PrintArea" localSheetId="4" hidden="1">'WS C  - Working Capital'!$A$8:$N$78</definedName>
    <definedName name="Z_C0EA0F9F_7310_4201_82C9_7B8FC8DB9137_.wvu.PrintTitles" localSheetId="17" hidden="1">'Worksheet O'!#REF!</definedName>
    <definedName name="Z_C0EA0F9F_7310_4201_82C9_7B8FC8DB9137_.wvu.PrintTitles" localSheetId="2" hidden="1">'WS A  - RB Support '!#REF!</definedName>
    <definedName name="Z_C0EA0F9F_7310_4201_82C9_7B8FC8DB9137_.wvu.PrintTitles" localSheetId="4" hidden="1">'WS C  - Working Capital'!#REF!</definedName>
    <definedName name="Z_C0EA0F9F_7310_4201_82C9_7B8FC8DB9137_.wvu.Rows" localSheetId="17" hidden="1">'Worksheet O'!#REF!</definedName>
    <definedName name="Z_C0EA0F9F_7310_4201_82C9_7B8FC8DB9137_.wvu.Rows" localSheetId="2" hidden="1">'WS A  - RB Support '!#REF!</definedName>
    <definedName name="Z_C0EA0F9F_7310_4201_82C9_7B8FC8DB9137_.wvu.Rows" localSheetId="4" hidden="1">'WS C  - Working Capital'!#REF!</definedName>
    <definedName name="Z_C5140E12_E05E_4473_9142_42F37320A417_.wvu.Cols" localSheetId="9" hidden="1">'WS H-p1 Other Taxes'!$N:$N</definedName>
    <definedName name="Z_C5140E12_E05E_4473_9142_42F37320A417_.wvu.Cols" localSheetId="10" hidden="1">'WS H-p2 Detail of Tax Amts'!$F:$F</definedName>
    <definedName name="Z_C5140E12_E05E_4473_9142_42F37320A417_.wvu.PrintArea" localSheetId="1" hidden="1">'TCOS'!$B$1:$L$382</definedName>
    <definedName name="Z_C5140E12_E05E_4473_9142_42F37320A417_.wvu.PrintArea" localSheetId="2" hidden="1">'WS A  - RB Support '!$A$1:$G$94</definedName>
    <definedName name="Z_C5140E12_E05E_4473_9142_42F37320A417_.wvu.PrintArea" localSheetId="3" hidden="1">'WS B ADIT &amp; ITC'!$A$1:$I$54</definedName>
    <definedName name="Z_C5140E12_E05E_4473_9142_42F37320A417_.wvu.PrintArea" localSheetId="4" hidden="1">'WS C  - Working Capital'!$A$1:$L$78</definedName>
    <definedName name="Z_C5140E12_E05E_4473_9142_42F37320A417_.wvu.PrintArea" localSheetId="5" hidden="1">'WS D IPP Credits'!$A$1:$E$26</definedName>
    <definedName name="Z_C5140E12_E05E_4473_9142_42F37320A417_.wvu.PrintArea" localSheetId="6" hidden="1">'WS E Rev Credits'!$A$1:$K$30</definedName>
    <definedName name="Z_C5140E12_E05E_4473_9142_42F37320A417_.wvu.PrintArea" localSheetId="7" hidden="1">'WS F Misc Exp'!$A$1:$G$71</definedName>
    <definedName name="Z_C5140E12_E05E_4473_9142_42F37320A417_.wvu.PrintArea" localSheetId="8" hidden="1">'WS G  State Tax Rate'!$A$1:$H$32</definedName>
    <definedName name="Z_C5140E12_E05E_4473_9142_42F37320A417_.wvu.PrintArea" localSheetId="9" hidden="1">'WS H-p1 Other Taxes'!$A$1:$N$47</definedName>
    <definedName name="Z_C5140E12_E05E_4473_9142_42F37320A417_.wvu.PrintArea" localSheetId="10" hidden="1">'WS H-p2 Detail of Tax Amts'!$A$1:$F$90</definedName>
    <definedName name="Z_C5140E12_E05E_4473_9142_42F37320A417_.wvu.PrintArea" localSheetId="11" hidden="1">'WS I RESERVED'!$A$1:$J$4</definedName>
    <definedName name="Z_C5140E12_E05E_4473_9142_42F37320A417_.wvu.PrintArea" localSheetId="12" hidden="1">'WS J PROJECTED RTEP RR'!$A$1:$O$168</definedName>
    <definedName name="Z_C5140E12_E05E_4473_9142_42F37320A417_.wvu.PrintArea" localSheetId="13" hidden="1">'WS K TRUE-UP RTEP RR'!$A$1:$P$167</definedName>
    <definedName name="Z_C5140E12_E05E_4473_9142_42F37320A417_.wvu.PrintArea" localSheetId="14" hidden="1">'WS L RESERVED'!$B$1:$E$7</definedName>
    <definedName name="Z_C5140E12_E05E_4473_9142_42F37320A417_.wvu.PrintTitles" localSheetId="2" hidden="1">'WS A  - RB Support '!$2:$9</definedName>
    <definedName name="Z_C5140E12_E05E_4473_9142_42F37320A417_.wvu.PrintTitles" localSheetId="4" hidden="1">'WS C  - Working Capital'!$1:$7</definedName>
    <definedName name="Z_C5140E12_E05E_4473_9142_42F37320A417_.wvu.PrintTitles" localSheetId="9" hidden="1">'WS H-p1 Other Taxes'!$1:$5</definedName>
    <definedName name="Z_C5140E12_E05E_4473_9142_42F37320A417_.wvu.PrintTitles" localSheetId="10" hidden="1">'WS H-p2 Detail of Tax Amts'!$1:$4</definedName>
    <definedName name="Zip">#REF!</definedName>
  </definedNames>
  <calcPr fullCalcOnLoad="1"/>
</workbook>
</file>

<file path=xl/sharedStrings.xml><?xml version="1.0" encoding="utf-8"?>
<sst xmlns="http://schemas.openxmlformats.org/spreadsheetml/2006/main" count="1638" uniqueCount="962">
  <si>
    <t>Other Adjustments</t>
  </si>
  <si>
    <t xml:space="preserve">           Acct. 928 - Transmission Specific</t>
  </si>
  <si>
    <t>FERC FORM 1</t>
  </si>
  <si>
    <t>Tie-Back</t>
  </si>
  <si>
    <t>FERC FORM 1 Reference</t>
  </si>
  <si>
    <t>P.263.1 ln 7 (i)</t>
  </si>
  <si>
    <t>P.263.2 ln 3 (i)</t>
  </si>
  <si>
    <t>P.263.2 ln 4 (i)</t>
  </si>
  <si>
    <t>P.263 ln 39  (i)</t>
  </si>
  <si>
    <t>P.263.1 ln 2  (i)</t>
  </si>
  <si>
    <t>P.263.1 ln 3  (i)</t>
  </si>
  <si>
    <t>P.263.2 ln 24  (i)</t>
  </si>
  <si>
    <t>P.263.2 ln 25  (i)</t>
  </si>
  <si>
    <t>P.263.2 ln 26  (i)</t>
  </si>
  <si>
    <t>P.263.2 ln 27  (i)</t>
  </si>
  <si>
    <t>P.263.3 ln 3  (i)</t>
  </si>
  <si>
    <t>P.263.3 ln 4  (i)</t>
  </si>
  <si>
    <t>P.263.4 ln 12  (i)</t>
  </si>
  <si>
    <t>P.263 ln 6 (i)</t>
  </si>
  <si>
    <t>P.263 ln 9 (i)</t>
  </si>
  <si>
    <t>P.263.1 ln 23  (i)</t>
  </si>
  <si>
    <t>P.263.2 ln 33  (i)</t>
  </si>
  <si>
    <t>P.263.3 ln 16  (i)</t>
  </si>
  <si>
    <t>P.263 ln 21 (i)</t>
  </si>
  <si>
    <t>Amortization in Months</t>
  </si>
  <si>
    <t>Monthly Amortization</t>
  </si>
  <si>
    <t>Ending Balance of Regulatory Asset</t>
  </si>
  <si>
    <t>Average Balance of Regulatory Asset</t>
  </si>
  <si>
    <t>P.263 ln 22 (i)</t>
  </si>
  <si>
    <t>P.263 ln 26 (i)</t>
  </si>
  <si>
    <t>P.263 ln 27 (i)</t>
  </si>
  <si>
    <t>P.263.3 ln 20 (i)</t>
  </si>
  <si>
    <t>P.263.1 ln 18 (i)</t>
  </si>
  <si>
    <t>P.263.1 ln 19 (i)</t>
  </si>
  <si>
    <t>P.263.1 ln 34 (i)</t>
  </si>
  <si>
    <t>P.263.2 ln 10 (i)</t>
  </si>
  <si>
    <t>P.263.2 ln 11 (i)</t>
  </si>
  <si>
    <t>P.263.2 ln 38 (i)</t>
  </si>
  <si>
    <t>P.263.2 ln 39 (i)</t>
  </si>
  <si>
    <t>P.263.3 ln 27 (i)</t>
  </si>
  <si>
    <t>P.263.3 ln 28 (i)</t>
  </si>
  <si>
    <t>P.263.4 ln 20 (i)</t>
  </si>
  <si>
    <t>P.263.4 ln 27 (i)</t>
  </si>
  <si>
    <t>P.263.1 ln 15 (i)</t>
  </si>
  <si>
    <t>P.263.2 ln 13 (i)</t>
  </si>
  <si>
    <t>P.263.3 ln 8 (i)</t>
  </si>
  <si>
    <t>P.263.4 ln 21 (i)</t>
  </si>
  <si>
    <t>P.263 ln 30 (i)</t>
  </si>
  <si>
    <t>P.263 ln 31(i)</t>
  </si>
  <si>
    <t>P.263.2 ln 16 (i)</t>
  </si>
  <si>
    <t>P.263.2 ln 17 (i)</t>
  </si>
  <si>
    <t>P.263.3 ln 21 (i)</t>
  </si>
  <si>
    <t>P.263 ln 13 (i)</t>
  </si>
  <si>
    <t>P.263 ln 14 (i)</t>
  </si>
  <si>
    <t xml:space="preserve">NOTE 1: The detail of each total company number and its source in the FERC Form 1 is shown on WS H-1. </t>
  </si>
  <si>
    <t>WS H</t>
  </si>
  <si>
    <t>Other Edit #6</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</si>
  <si>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</si>
  <si>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</si>
  <si>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Added WS H-1 to show Form 1 Source of total company amount shown on WS H.  The total company expense amounts on WS H are now sourced from WS H-1.</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</si>
  <si>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</si>
  <si>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</si>
  <si>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</si>
  <si>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</si>
  <si>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 xml:space="preserve">Account 4560015, Associated Business Development </t>
    </r>
    <r>
      <rPr>
        <b/>
        <sz val="10"/>
        <rFont val="Arial"/>
        <family val="2"/>
      </rPr>
      <t>- (Company Records - Note 1)</t>
    </r>
  </si>
  <si>
    <r>
      <t>Account 456 - Other Electric Revenues</t>
    </r>
    <r>
      <rPr>
        <b/>
        <sz val="10"/>
        <rFont val="Arial"/>
        <family val="2"/>
      </rPr>
      <t xml:space="preserve"> - (Company Records - Note 1)</t>
    </r>
  </si>
  <si>
    <r>
      <t>Accounts  4470004 &amp; 5, Revenues from Grandfathered Transmission Contracts</t>
    </r>
    <r>
      <rPr>
        <b/>
        <sz val="10"/>
        <rFont val="Arial"/>
        <family val="2"/>
      </rPr>
      <t xml:space="preserve"> - (Company Records - Note 1)</t>
    </r>
  </si>
  <si>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 of the Ferc Form 1.</t>
  </si>
  <si>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</si>
  <si>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</si>
  <si>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</si>
  <si>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</si>
  <si>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</si>
  <si>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</si>
  <si>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</si>
  <si>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</si>
  <si>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</si>
  <si>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</si>
  <si>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</si>
  <si>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</si>
  <si>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</si>
  <si>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PBOP Expenses From AEP Affiliates (From Company Records)</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</si>
  <si>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</si>
  <si>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</si>
  <si>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</si>
  <si>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</si>
  <si>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</si>
  <si>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</si>
  <si>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</si>
  <si>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</si>
  <si>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</si>
  <si>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</si>
  <si>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</si>
  <si>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</si>
  <si>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</si>
  <si>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</si>
  <si>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</si>
  <si>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</si>
  <si>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</si>
  <si>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</si>
  <si>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</si>
  <si>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</si>
  <si>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</si>
  <si>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</si>
  <si>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</si>
  <si>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</si>
  <si>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</si>
  <si>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</si>
  <si>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</si>
  <si>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</si>
  <si>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</si>
  <si>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</si>
  <si>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</si>
  <si>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</si>
  <si>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</si>
  <si>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</si>
  <si>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</si>
  <si>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</si>
  <si>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</si>
  <si>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</si>
  <si>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</si>
  <si>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</si>
  <si>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</si>
  <si>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</si>
  <si>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</si>
  <si>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</si>
  <si>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</si>
  <si>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</si>
  <si>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</si>
  <si>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</si>
  <si>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</si>
  <si>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</si>
  <si>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</si>
  <si>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</si>
  <si>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</si>
  <si>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</si>
  <si>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</si>
  <si>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</si>
  <si>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</si>
  <si>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</si>
  <si>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</si>
  <si>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</si>
  <si>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</si>
  <si>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</si>
  <si>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</si>
  <si>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</si>
  <si>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</si>
  <si>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</si>
  <si>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</si>
  <si>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</si>
  <si>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</si>
  <si>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</si>
  <si>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</si>
  <si>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</si>
  <si>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</si>
  <si>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</si>
  <si>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</si>
  <si>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</si>
  <si>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</si>
  <si>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</si>
  <si>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</si>
  <si>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</si>
  <si>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</si>
  <si>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</si>
  <si>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</si>
  <si>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</si>
  <si>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</si>
  <si>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</si>
  <si>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</si>
  <si>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</si>
  <si>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</si>
  <si>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</si>
  <si>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</si>
  <si>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</si>
  <si>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</si>
  <si>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</si>
  <si>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</si>
  <si>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</si>
  <si>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</si>
  <si>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</si>
  <si>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</si>
  <si>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</si>
  <si>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</si>
  <si>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GP(h)</t>
  </si>
  <si>
    <t>NP(h)</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</si>
  <si>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</si>
  <si>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</si>
  <si>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</si>
  <si>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</si>
  <si>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</si>
  <si>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</si>
  <si>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</si>
  <si>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</si>
  <si>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</si>
  <si>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</si>
  <si>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</si>
  <si>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</si>
  <si>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</si>
  <si>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</si>
  <si>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</si>
  <si>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</si>
  <si>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</si>
  <si>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</si>
  <si>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General Asset Retirement Obligation</t>
  </si>
  <si>
    <t>Total Property Investment Balance</t>
  </si>
  <si>
    <t>General Accumulated Depreciation</t>
  </si>
  <si>
    <t>General ARO Accumulated Depreciation</t>
  </si>
  <si>
    <t>Transmission ARO Accumulated Depreciation</t>
  </si>
  <si>
    <t>Accumulated Depreciation &amp; Amortization Balances</t>
  </si>
  <si>
    <t>Intangible Accumulated Amortization</t>
  </si>
  <si>
    <t>Total Accumulated Depreciation or Amortization</t>
  </si>
  <si>
    <t>Generation Step-Up Units</t>
  </si>
  <si>
    <t>GSU Investment Amount</t>
  </si>
  <si>
    <t>GSU Accumulated Depreciation</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</si>
  <si>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</si>
  <si>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</si>
  <si>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</si>
  <si>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</si>
  <si>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</si>
  <si>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</si>
  <si>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</si>
  <si>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</si>
  <si>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</si>
  <si>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</si>
  <si>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</si>
  <si>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</si>
  <si>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</si>
  <si>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</si>
  <si>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</si>
  <si>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</si>
  <si>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</si>
  <si>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</si>
  <si>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</si>
  <si>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GSU Net Balance</t>
  </si>
  <si>
    <t>Transmission Plant Held For Future</t>
  </si>
  <si>
    <t>FF1, page 214, ln 47, Col. (d)</t>
  </si>
  <si>
    <t>N/A</t>
  </si>
  <si>
    <t xml:space="preserve">  Less: General Plant ARO (Enter Negative) </t>
  </si>
  <si>
    <t xml:space="preserve">  Less: Transmission ARO (Enter Negative) </t>
  </si>
  <si>
    <t>FF1, page 219, ln 25, Col. (b)</t>
  </si>
  <si>
    <t>(Total Company Amount Ties to FFI p.114, Ln 14,(c))</t>
  </si>
  <si>
    <t>Revised  to explain how interest expense is calculated in the projected and true-up WACC</t>
  </si>
  <si>
    <t>561 - Load Dispatching</t>
  </si>
  <si>
    <t>561.1 - Load Dispatch - Reliability</t>
  </si>
  <si>
    <t>561.2 - Load Dispatch - Monitor &amp; Operate Trans System</t>
  </si>
  <si>
    <t>561.3 - Load Dispatch - Trans Service &amp; Scheduling</t>
  </si>
  <si>
    <t>FF1 p 321.85.b</t>
  </si>
  <si>
    <t>FF1 p 321.84.b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</si>
  <si>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</si>
  <si>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</si>
  <si>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</si>
  <si>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</si>
  <si>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</si>
  <si>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</si>
  <si>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</si>
  <si>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</si>
  <si>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</si>
  <si>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</si>
  <si>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</si>
  <si>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</si>
  <si>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</si>
  <si>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</si>
  <si>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Lns 85 &amp; 251</t>
  </si>
  <si>
    <t>Lns 85</t>
  </si>
  <si>
    <t>Change account 561 expenses from a direct imput in historic template to an account by account input on WS F from the FF1 per Staff's request.</t>
  </si>
  <si>
    <t>Note H</t>
  </si>
  <si>
    <t>Revised note to include the source of "Company Records" as the general ledger.</t>
  </si>
  <si>
    <t>WS A</t>
  </si>
  <si>
    <t>On this worksheet, "Company Records" refers to AEP's property accounting ledger.</t>
  </si>
  <si>
    <t>WS B</t>
  </si>
  <si>
    <t>WS D</t>
  </si>
  <si>
    <t>WS E</t>
  </si>
  <si>
    <t>Added subtotal on new line 6 to tie the total company other operating revenues to FF1 p 300 line 26, col b.</t>
  </si>
  <si>
    <t xml:space="preserve">Added total company source reference to lines 1-5 and 7 </t>
  </si>
  <si>
    <t>WS G</t>
  </si>
  <si>
    <t>Apportionment Factors are determined as part of the Company's annual tax return for that jurisdiction.</t>
  </si>
  <si>
    <t>Added a cite in Note 1 for the five year phase out of the Ohio Income tax</t>
  </si>
  <si>
    <t>T</t>
  </si>
  <si>
    <t>Added note 2 to describe where the apportionment factors come from</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</si>
  <si>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</si>
  <si>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</si>
  <si>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</si>
  <si>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</si>
  <si>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</si>
  <si>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</si>
  <si>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</si>
  <si>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</si>
  <si>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</si>
  <si>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</si>
  <si>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</si>
  <si>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Less transmission plant excluded from PJM Tariff  (Note P)</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</si>
  <si>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</si>
  <si>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</si>
  <si>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</si>
  <si>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</si>
  <si>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</si>
  <si>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</si>
  <si>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</si>
  <si>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</si>
  <si>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</si>
  <si>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</si>
  <si>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 xml:space="preserve">         PBOP Adjustment</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</si>
  <si>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</si>
  <si>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</si>
  <si>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</si>
  <si>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</si>
  <si>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</si>
  <si>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</si>
  <si>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</si>
  <si>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Currently Approved PBOP Rate</t>
  </si>
  <si>
    <t>Base PBOP TransCo labor expensed in current year</t>
  </si>
  <si>
    <t>Medicare Credit</t>
  </si>
  <si>
    <t>FF1, page 207 Col.(g) &amp; pg. 206 Col. (b), ln 58</t>
  </si>
  <si>
    <t>FF1, page 207 Col.(g) &amp; pg. 206 Col. (b), ln 57</t>
  </si>
  <si>
    <t>Note J</t>
  </si>
  <si>
    <t>Note J was not correct in true-up.  Copied revised note J to true-up.</t>
  </si>
  <si>
    <t>True-up Template</t>
  </si>
  <si>
    <t>Added a line to Note U indicating that the cap percentage cannot change absent a 205 filing with the FERC.</t>
  </si>
  <si>
    <t>Proj &amp; Hist Template</t>
  </si>
  <si>
    <t>Note U</t>
  </si>
  <si>
    <t>All Templates</t>
  </si>
  <si>
    <t>Note S</t>
  </si>
  <si>
    <t>Line 153</t>
  </si>
  <si>
    <t>Corrected Row reference to WS M from 18 to 21</t>
  </si>
  <si>
    <t>Line 154</t>
  </si>
  <si>
    <t>Corrected Row reference to WS M from 48 to 56</t>
  </si>
  <si>
    <t>Line 162</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</si>
  <si>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</si>
  <si>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</si>
  <si>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</si>
  <si>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</si>
  <si>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</si>
  <si>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</si>
  <si>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</si>
  <si>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</si>
  <si>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</si>
  <si>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</si>
  <si>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</si>
  <si>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</si>
  <si>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</si>
  <si>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</si>
  <si>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</si>
  <si>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</si>
  <si>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</si>
  <si>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</si>
  <si>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</si>
  <si>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NOTE:  The balance of fair value hedges on outstanding long term debt are to be excluded from the balance of long term debt included in the formula's capital structure. (Page 257, Column H of the FF1)</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</si>
  <si>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</si>
  <si>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</si>
  <si>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</si>
  <si>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</si>
  <si>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</si>
  <si>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</si>
  <si>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</si>
  <si>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</si>
  <si>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</si>
  <si>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</si>
  <si>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</si>
  <si>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</si>
  <si>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</si>
  <si>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8-9</t>
  </si>
  <si>
    <t>2, 5</t>
  </si>
  <si>
    <t xml:space="preserve">NOTE 2 </t>
  </si>
  <si>
    <t xml:space="preserve">ADIT balances should exclude balances related to hedging activity. </t>
  </si>
  <si>
    <t xml:space="preserve">Added Note 2 to exclude from ratebase ADIT balances related to hedging activity. </t>
  </si>
  <si>
    <t>ADIT #1b</t>
  </si>
  <si>
    <t>Annual Tax Expenses by Type (Note 1)</t>
  </si>
  <si>
    <t>NOTE: The ratebase should not include the unamoritzed balance of hedging gains or losses.</t>
  </si>
  <si>
    <t>Page # on AEP Response to Staff Memo</t>
  </si>
  <si>
    <t>FF1, p. 266-267, ln 8, Col. (h)</t>
  </si>
  <si>
    <t xml:space="preserve"> Worksheet B Supporting ADIT and ITC Balances</t>
  </si>
  <si>
    <t>Subtotal</t>
  </si>
  <si>
    <t>Prepaid Insurance - EIS</t>
  </si>
  <si>
    <t>Prepaid Lease</t>
  </si>
  <si>
    <t>Real and Personal Property - Michigan</t>
  </si>
  <si>
    <t>Real and Personal Property - Indiana</t>
  </si>
  <si>
    <t>P.263 ln 17  (i)</t>
  </si>
  <si>
    <t>P.263 ln 19  (i)</t>
  </si>
  <si>
    <t>additional incentive requirement is applicable for the life of this specific project.  Each year the revenue requirement calculated for PJM</t>
  </si>
  <si>
    <t>Capital Structure Percentages</t>
  </si>
  <si>
    <t>CALCULATION OF HEDGE GAINS/LOSSES TO BE EXLCUDED FROM TCOS</t>
  </si>
  <si>
    <t>WS N</t>
  </si>
  <si>
    <t>FERC</t>
  </si>
  <si>
    <t>Included revision to note to explain FERC Account in which gains or losses on sales of plant held for future use are recorded., Added Column (I)</t>
  </si>
  <si>
    <t>to input the applicable account for each sales transaction.</t>
  </si>
  <si>
    <t xml:space="preserve">WS M </t>
  </si>
  <si>
    <t>Lines 42-44:Corrected O/S Shares of Preferred Stock @ 12/31/2007  to reflect FF1 p 250-251. Actually reflected the 2006 balance</t>
  </si>
  <si>
    <t>WS L</t>
  </si>
  <si>
    <t>Year End Total Agrees to FF1 p.112, Ln 3, col (c ) &amp; (d)</t>
  </si>
  <si>
    <t>In title of WS inserted the word "Projected" after "Calculation of"</t>
  </si>
  <si>
    <t xml:space="preserve">WS L </t>
  </si>
  <si>
    <t>Lines 40-44- Added the 5 basis point limit to recoverable hedge gain or loss to projected interest calcluation</t>
  </si>
  <si>
    <t>Header for Column (D): Referenced Note S on projected template to describe how interest is calculated.</t>
  </si>
  <si>
    <t>Revenue credits include:</t>
  </si>
  <si>
    <t>Calculation of Post-employment Benefits Other than Pensions Expenses Allocable to Transmission Service</t>
  </si>
  <si>
    <t>Worksheet O - PBOP Support</t>
  </si>
  <si>
    <t>PBOP</t>
  </si>
  <si>
    <t>Calculation of PBOP Expenses</t>
  </si>
  <si>
    <t>Base Year relating to retired personnel</t>
  </si>
  <si>
    <t xml:space="preserve">Amount allocated on Labor </t>
  </si>
  <si>
    <t>Direct PBOP Expense per Actuarial Report</t>
  </si>
  <si>
    <t>Additional PBOP Ledger Entry (From Company Records)</t>
  </si>
  <si>
    <t xml:space="preserve">Actual PBOP Expense </t>
  </si>
  <si>
    <t>PBOP Adjustment</t>
  </si>
  <si>
    <t>3) Rental revenues earned on assets included in the rate base.</t>
  </si>
  <si>
    <t>4) Revenues for associated business projects provided by employees whose labor and overhead costs are in the transmission cost of service.</t>
  </si>
  <si>
    <t>323.197.b (Note J)</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</si>
  <si>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</si>
  <si>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</si>
  <si>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</si>
  <si>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</si>
  <si>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</si>
  <si>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 xml:space="preserve">Transmission Asset Retirement Obligation </t>
  </si>
  <si>
    <t>Less:  Load Dispatch - Scheduling, System Control and Dispatch Services (321.88.b)</t>
  </si>
  <si>
    <t>Less:  Load Dispatch - Reliability, Planning &amp; Standards Development Services (321.92.b)</t>
  </si>
  <si>
    <t>Plant Investment Balances</t>
  </si>
  <si>
    <t xml:space="preserve">   R   (from A. above)</t>
  </si>
  <si>
    <t>CUMULATIVE HISTORY OF TRUED-UP ANNUAL REVENUE REQUIREMENTS:</t>
  </si>
  <si>
    <t xml:space="preserve">NOTE:  Functional ARO investment and accumulated depreciation balances shown below are included in the total functional balances shown here. </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</si>
  <si>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</si>
  <si>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</si>
  <si>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</si>
  <si>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</si>
  <si>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</si>
  <si>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</si>
  <si>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 xml:space="preserve"> Worksheet A Supporting Plant Balances</t>
  </si>
  <si>
    <t>5700005</t>
  </si>
  <si>
    <t>Maint Station-Reliability-Df</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</si>
  <si>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</si>
  <si>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</si>
  <si>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</si>
  <si>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</si>
  <si>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</si>
  <si>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</si>
  <si>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</si>
  <si>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</si>
  <si>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</si>
  <si>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</si>
  <si>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</si>
  <si>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200, ln 21, Col. (b)</t>
  </si>
  <si>
    <t>Account 281</t>
  </si>
  <si>
    <t>Account 282</t>
  </si>
  <si>
    <t>Account 283</t>
  </si>
  <si>
    <t xml:space="preserve">Account 190 </t>
  </si>
  <si>
    <t>Account 255</t>
  </si>
  <si>
    <t>FF1, p. 234, ln 8, Col. (c)</t>
  </si>
  <si>
    <t>Transmission Accumulated Depreciation Net of GSU Accumulated Depreciation</t>
  </si>
  <si>
    <t>Subtotal of Transmission Net of GSU</t>
  </si>
  <si>
    <t>Less: GSU Accumulated Depreciation</t>
  </si>
  <si>
    <t>NP(h)=</t>
  </si>
  <si>
    <t>GP(h)=</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</si>
  <si>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</si>
  <si>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</si>
  <si>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</si>
  <si>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</si>
  <si>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</si>
  <si>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</si>
  <si>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</si>
  <si>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</si>
  <si>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</si>
  <si>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</si>
  <si>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</si>
  <si>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1650001</t>
  </si>
  <si>
    <t>Prepaid Insurance</t>
  </si>
  <si>
    <t>1650004</t>
  </si>
  <si>
    <t>Prepaid Interest</t>
  </si>
  <si>
    <t>1650005</t>
  </si>
  <si>
    <t>Prepaid Employee Benefits</t>
  </si>
  <si>
    <t>1650006</t>
  </si>
  <si>
    <t>Other Prepayments</t>
  </si>
  <si>
    <t>1650009</t>
  </si>
  <si>
    <t xml:space="preserve"> Line Deliberately Left Blank</t>
  </si>
  <si>
    <t xml:space="preserve"> Lines 24-58 Column (B) Deliberately Left Blank</t>
  </si>
  <si>
    <t xml:space="preserve"> Lines 24-58 Column (D) Deliberately Left Blank</t>
  </si>
  <si>
    <t>Line Left Deliberately Blank</t>
  </si>
  <si>
    <t>Prepaid Carry Cost-Factored AR</t>
  </si>
  <si>
    <t>1650010</t>
  </si>
  <si>
    <t>Prepaid Pension Benefits</t>
  </si>
  <si>
    <t>1650014</t>
  </si>
  <si>
    <t>FAS 158 Qual Contra Asset</t>
  </si>
  <si>
    <t>Transmission Materials &amp; Supplies</t>
  </si>
  <si>
    <t>General Materials &amp; Supplies</t>
  </si>
  <si>
    <t>Stores Expense (Undistributed)</t>
  </si>
  <si>
    <t xml:space="preserve">  Stores Expense </t>
  </si>
  <si>
    <t>1650003</t>
  </si>
  <si>
    <t>Prepaid Rents</t>
  </si>
  <si>
    <t>1650016</t>
  </si>
  <si>
    <t>FAS 112 ASSETS</t>
  </si>
  <si>
    <t>Excludable</t>
  </si>
  <si>
    <t>Prepayment Balance Summary</t>
  </si>
  <si>
    <t>Assoc Business Development Exp</t>
  </si>
  <si>
    <t>Source of Data</t>
  </si>
  <si>
    <t>Rate Base Item &amp; Supporting Balance</t>
  </si>
  <si>
    <t>AEPTCo subsidiaries in PJM</t>
  </si>
  <si>
    <t>Plant Held For Future Use</t>
  </si>
  <si>
    <t>( C )</t>
  </si>
  <si>
    <t>General Notes:  a)  References to data from Worksheets are indicated as:  Worksheet X, Line#.Column.X</t>
  </si>
  <si>
    <t>(C )</t>
  </si>
  <si>
    <t>Development of Average Balance of Common Equity</t>
  </si>
  <si>
    <t>NOTE 1</t>
  </si>
  <si>
    <t>Company Records - Note 1</t>
  </si>
  <si>
    <t>Subtotal - Other Operating Revenues (Company Total equals (FF1 p. 300.26.(b))</t>
  </si>
  <si>
    <t xml:space="preserve"> Worksheet G Supporting - Development of Composite State Income Tax Rate</t>
  </si>
  <si>
    <t>Removed the Equity Cap calculations from the historic &amp; projected templates, and revised realted note U</t>
  </si>
  <si>
    <t>Added K. Barnes suggested language that allocators cannot change without a 205 filing.</t>
  </si>
  <si>
    <t>Template or WS</t>
  </si>
  <si>
    <t>Line or Note Reference</t>
  </si>
  <si>
    <t>Point on FERC Memo</t>
  </si>
  <si>
    <t>Change</t>
  </si>
  <si>
    <t>Ln 166 &amp; Ln 332</t>
  </si>
  <si>
    <t>General # 1</t>
  </si>
  <si>
    <t>General # 3</t>
  </si>
  <si>
    <t>Cap-Cost #1.b.</t>
  </si>
  <si>
    <t>Cap-Cost # 3</t>
  </si>
  <si>
    <t>Cap-Cost # 5</t>
  </si>
  <si>
    <t>Cap-Cost # 6</t>
  </si>
  <si>
    <t xml:space="preserve">Updated reference to WS M line 22 </t>
  </si>
  <si>
    <t>Included a calculation to limit hedging gains &amp; losses to five basis points of projected capital structure.</t>
  </si>
  <si>
    <t>Cap-Cost #1.b. &amp; #7.c</t>
  </si>
  <si>
    <t>Changed desciption of header on column (B) to "Principle Outstanding."</t>
  </si>
  <si>
    <t>Removed from the Line 4 description the reference to column (i) of FERC Form 1 page 257.</t>
  </si>
  <si>
    <t>Added "Note 1 to define "company records" as the general ledger accounting system.</t>
  </si>
  <si>
    <t>WS F</t>
  </si>
  <si>
    <t>Included an input section for each sub-account of 561.  The subtotal is the source of this activity for the templates</t>
  </si>
  <si>
    <t>Cap-Cost #7b.</t>
  </si>
  <si>
    <t>Cap-Cost #7e.</t>
  </si>
  <si>
    <t>Cap-Cost #7f.</t>
  </si>
  <si>
    <t>Cap-Cost #7g.</t>
  </si>
  <si>
    <t>Cap-Cost #1.b; #1.c</t>
  </si>
  <si>
    <t>Cap-Cost #4.c.</t>
  </si>
  <si>
    <t>Other Edit #5</t>
  </si>
  <si>
    <t xml:space="preserve">Other Edits #1, </t>
  </si>
  <si>
    <t>Other Edits # 3, 4</t>
  </si>
  <si>
    <t>Added Note 1 to define "company records" as the property accounting system.</t>
  </si>
  <si>
    <t>Added Note 1 to define "company records" as the tax accounting system.</t>
  </si>
  <si>
    <t>Added Note 1 to define "company records" as the general ledger accounting system.</t>
  </si>
  <si>
    <t>Other Edits #1</t>
  </si>
  <si>
    <t>Ln 20</t>
  </si>
  <si>
    <t>Other Edits #7</t>
  </si>
  <si>
    <t>Proj &amp; True-up Template</t>
  </si>
  <si>
    <t>Corrected source reference</t>
  </si>
  <si>
    <t>Ln 21</t>
  </si>
  <si>
    <t>Other Edits #8</t>
  </si>
  <si>
    <t>Added Reference to source of TP allocator on line 143</t>
  </si>
  <si>
    <t xml:space="preserve">Projected  </t>
  </si>
  <si>
    <t>Other Edits #9</t>
  </si>
  <si>
    <t>Corrected formula referencing wrong cell on WS A</t>
  </si>
  <si>
    <t xml:space="preserve">Lines 92 $ 258 </t>
  </si>
  <si>
    <t>Corrected "Susidiary" to "Subsidy" in description.</t>
  </si>
  <si>
    <t xml:space="preserve">NOTE 1 </t>
  </si>
  <si>
    <t>Revenue Credits to Generators (Company Records - Note 1)</t>
  </si>
  <si>
    <t>Accounting Adjustment  (Company Records - Note 1)</t>
  </si>
  <si>
    <t>Summary of the Application of FERC Revisions to APCo Settlement Template</t>
  </si>
  <si>
    <t>Average Balance of Common Equity</t>
  </si>
  <si>
    <t>Development of Cost of  Long Term Debt Based on Average Outstanding Balance</t>
  </si>
  <si>
    <t>Total Average Debt</t>
  </si>
  <si>
    <t>Amort of Debt Discount &amp; Expense (117.63.c)</t>
  </si>
  <si>
    <t>Amort of Loss on Reacquired Debt (117.64.c)</t>
  </si>
  <si>
    <t>Less: Amort of Premium on Debt (117.65.c)</t>
  </si>
  <si>
    <t>Less: Amort of Gain on Reacquired Debt (117.66.c)</t>
  </si>
  <si>
    <t>Development of Cost of Preferred Stock</t>
  </si>
  <si>
    <t>Proprietary Capital (112.16.c&amp;d)</t>
  </si>
  <si>
    <t>Less Account 216.1 (112.12.c&amp;d)</t>
  </si>
  <si>
    <t xml:space="preserve">Less Account 219.1 (112.15.c&amp;d) </t>
  </si>
  <si>
    <t>Bonds (112.18.c&amp;d)</t>
  </si>
  <si>
    <t>Less: Reacquired Bonds (112.19.c&amp;d)</t>
  </si>
  <si>
    <t>Senior Unsecured Notes (112.21.c&amp;d)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</si>
  <si>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</si>
  <si>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</si>
  <si>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</si>
  <si>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</si>
  <si>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</si>
  <si>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</si>
  <si>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</si>
  <si>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</si>
  <si>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</si>
  <si>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</si>
  <si>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</si>
  <si>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</si>
  <si>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</si>
  <si>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</si>
  <si>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</si>
  <si>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</si>
  <si>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</si>
  <si>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</si>
  <si>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</si>
  <si>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</si>
  <si>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</si>
  <si>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</si>
  <si>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</si>
  <si>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</si>
  <si>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</si>
  <si>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</si>
  <si>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</si>
  <si>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</si>
  <si>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9301004</t>
  </si>
  <si>
    <t>Newspaper Advertising Prod Exp</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</si>
  <si>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</si>
  <si>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</si>
  <si>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</si>
  <si>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</si>
  <si>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</si>
  <si>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</si>
  <si>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</si>
  <si>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</si>
  <si>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</si>
  <si>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</si>
  <si>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</si>
  <si>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</si>
  <si>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</si>
  <si>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</si>
  <si>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</si>
  <si>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</si>
  <si>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</si>
  <si>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</si>
  <si>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</si>
  <si>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</si>
  <si>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</si>
  <si>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</si>
  <si>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</si>
  <si>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</si>
  <si>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</si>
  <si>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</si>
  <si>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</si>
  <si>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</si>
  <si>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</si>
  <si>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</si>
  <si>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</si>
  <si>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</si>
  <si>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</si>
  <si>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</si>
  <si>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</si>
  <si>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</si>
  <si>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</si>
  <si>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</si>
  <si>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</si>
  <si>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</si>
  <si>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</si>
  <si>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</si>
  <si>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</si>
  <si>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</si>
  <si>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</si>
  <si>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</si>
  <si>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</si>
  <si>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</si>
  <si>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</si>
  <si>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</si>
  <si>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</si>
  <si>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</si>
  <si>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</si>
  <si>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</si>
  <si>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</si>
  <si>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</si>
  <si>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</si>
  <si>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</si>
  <si>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</si>
  <si>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</si>
  <si>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</si>
  <si>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</si>
  <si>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</si>
  <si>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</si>
  <si>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</si>
  <si>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</si>
  <si>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</si>
  <si>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</si>
  <si>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</si>
  <si>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</si>
  <si>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</si>
  <si>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</si>
  <si>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</si>
  <si>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</si>
  <si>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</si>
  <si>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</si>
  <si>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</si>
  <si>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</si>
  <si>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</si>
  <si>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</si>
  <si>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</si>
  <si>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</si>
  <si>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</si>
  <si>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</si>
  <si>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</si>
  <si>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</si>
  <si>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</si>
  <si>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</si>
  <si>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</si>
  <si>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</si>
  <si>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</si>
  <si>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</si>
  <si>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</si>
  <si>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</si>
  <si>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</si>
  <si>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</si>
  <si>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</si>
  <si>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</si>
  <si>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</si>
  <si>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</si>
  <si>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</si>
  <si>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</si>
  <si>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</si>
  <si>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</si>
  <si>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</si>
  <si>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</si>
  <si>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9301001</t>
  </si>
  <si>
    <t>Newspaper Advertising Space</t>
  </si>
  <si>
    <t>9301006</t>
  </si>
  <si>
    <t>Spec Corporate Comm Info Proj</t>
  </si>
  <si>
    <t>9301008</t>
  </si>
  <si>
    <t>Direct Mail and Handouts</t>
  </si>
  <si>
    <t>9301009</t>
  </si>
  <si>
    <t>Fairs, Shows, and Exhibits</t>
  </si>
  <si>
    <t>9301010</t>
  </si>
  <si>
    <t>Publicity</t>
  </si>
  <si>
    <t>9301014</t>
  </si>
  <si>
    <t>Video Communications</t>
  </si>
  <si>
    <t>9301015</t>
  </si>
  <si>
    <t>Other Corporate Comm Exp</t>
  </si>
  <si>
    <t>9280000</t>
  </si>
  <si>
    <t>9280002</t>
  </si>
  <si>
    <t>9301011</t>
  </si>
  <si>
    <t>Dedications, Tours, &amp; Openings</t>
  </si>
  <si>
    <t>9301013</t>
  </si>
  <si>
    <t>Movies Slide Films &amp; Speeches</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</si>
  <si>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</si>
  <si>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</si>
  <si>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</si>
  <si>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</si>
  <si>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</si>
  <si>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</si>
  <si>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</si>
  <si>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</si>
  <si>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</si>
  <si>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</si>
  <si>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</si>
  <si>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</si>
  <si>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9280001</t>
  </si>
  <si>
    <t>9301012</t>
  </si>
  <si>
    <t>Public Opinion Surveys</t>
  </si>
  <si>
    <t>322 &amp; 323.164,171,178.b</t>
  </si>
  <si>
    <t>Total Effective State Income Tax Rate</t>
  </si>
  <si>
    <t>Cash Working Capital</t>
  </si>
  <si>
    <t>PLANT HELD FOR FUTURE USE</t>
  </si>
  <si>
    <t>9302000</t>
  </si>
  <si>
    <t>Misc General Expenses</t>
  </si>
  <si>
    <t>9302003</t>
  </si>
  <si>
    <t>Corporate &amp; Fiscal Expenses</t>
  </si>
  <si>
    <t>9302004</t>
  </si>
  <si>
    <t>Research, Develop&amp;Demonstr Exp</t>
  </si>
  <si>
    <t>9302007</t>
  </si>
  <si>
    <t>Source</t>
  </si>
  <si>
    <t>Transmission Plant In Service</t>
  </si>
  <si>
    <t>Intangible Plant In Service</t>
  </si>
  <si>
    <t>General Plant In Service</t>
  </si>
  <si>
    <t>Transmission Accumulated Depreciation</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</si>
  <si>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</si>
  <si>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</si>
  <si>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</si>
  <si>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</si>
  <si>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</si>
  <si>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</si>
  <si>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</si>
  <si>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</si>
  <si>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</si>
  <si>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</si>
  <si>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</si>
  <si>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</si>
  <si>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</si>
  <si>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</si>
  <si>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</si>
  <si>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</si>
  <si>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System PBOP Rate</t>
  </si>
  <si>
    <t xml:space="preserve">Total AEP System PBOP expenses </t>
  </si>
  <si>
    <t>Total AEP System Direct Labor Expense</t>
  </si>
  <si>
    <t>AEP System PBOP expense per dollar of direct labor (PBOP Rate)</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</si>
  <si>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</si>
  <si>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</si>
  <si>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</si>
  <si>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</si>
  <si>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</si>
  <si>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</si>
  <si>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</si>
  <si>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</si>
  <si>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</si>
  <si>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</si>
  <si>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</si>
  <si>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</si>
  <si>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</si>
  <si>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</si>
  <si>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</si>
  <si>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</si>
  <si>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</si>
  <si>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</si>
  <si>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</si>
  <si>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</si>
  <si>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</si>
  <si>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</si>
  <si>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</si>
  <si>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</si>
  <si>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</si>
  <si>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</si>
  <si>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</si>
  <si>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</si>
  <si>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</si>
  <si>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</si>
  <si>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</si>
  <si>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</si>
  <si>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</si>
  <si>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</si>
  <si>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</si>
  <si>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Regulatory Commission Exp</t>
  </si>
  <si>
    <t>Regulatory Commission Exp-Adm</t>
  </si>
  <si>
    <t>Regulatory Commission Exp-Case</t>
  </si>
  <si>
    <t>9301000</t>
  </si>
  <si>
    <t>General Advertising Expenses</t>
  </si>
  <si>
    <t>9301002</t>
  </si>
  <si>
    <t>Radio Station Advertising Time</t>
  </si>
  <si>
    <t>9301003</t>
  </si>
  <si>
    <t>TV Station Advertising Time</t>
  </si>
  <si>
    <t>9301005</t>
  </si>
  <si>
    <t>Radio &amp;TV Advertising Prod Exp</t>
  </si>
  <si>
    <t>9301007</t>
  </si>
  <si>
    <t>Special Adv Space &amp; Prod Exp</t>
  </si>
  <si>
    <t>P.263 ln 18  (i)</t>
  </si>
  <si>
    <t>P.263 ln 21  (i)</t>
  </si>
  <si>
    <t>P.263 ln 20  (i)</t>
  </si>
  <si>
    <t xml:space="preserve">Real and Personal Property </t>
  </si>
  <si>
    <t>(Note S)</t>
  </si>
  <si>
    <t>NOTE:  The balance of fair value hedges on outstanding long term debt are to be excluded from the balance of long term debt included in the formula's capital structure. (page 257, Column H of the FF1)</t>
  </si>
  <si>
    <t>1650031</t>
  </si>
  <si>
    <t>1650033</t>
  </si>
  <si>
    <t>Prepaid OCIP Work Comp</t>
  </si>
  <si>
    <t>Prepaid OCIP Work Comp - Aff</t>
  </si>
  <si>
    <t>P.263 ln 7 (i)</t>
  </si>
  <si>
    <t>1650032</t>
  </si>
  <si>
    <t>1650034</t>
  </si>
  <si>
    <t>Prepaid OCIP Work Comp LT</t>
  </si>
  <si>
    <t>Prepaid OCIP Work Comp LT - Aff</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</si>
  <si>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</si>
  <si>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</si>
  <si>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</si>
  <si>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</si>
  <si>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</si>
  <si>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Tax Effect of Permanent Differences</t>
  </si>
  <si>
    <t xml:space="preserve"> (Note U)</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</si>
  <si>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</si>
  <si>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</si>
  <si>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</si>
  <si>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</si>
  <si>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</si>
  <si>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</si>
  <si>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</si>
  <si>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</si>
  <si>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</si>
  <si>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</si>
  <si>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</si>
  <si>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</si>
  <si>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</si>
  <si>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</si>
  <si>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</si>
  <si>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</si>
  <si>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</si>
  <si>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</si>
  <si>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</si>
  <si>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</si>
  <si>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</si>
  <si>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</si>
  <si>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</si>
  <si>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</si>
  <si>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</si>
  <si>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</si>
  <si>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</si>
  <si>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</si>
  <si>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</si>
  <si>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</si>
  <si>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</si>
  <si>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</si>
  <si>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</si>
  <si>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</si>
  <si>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</si>
  <si>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</si>
  <si>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(line 32 / line 33)</t>
  </si>
  <si>
    <t>(line 34 X line 35)</t>
  </si>
  <si>
    <t>(line 32 - line 36)</t>
  </si>
  <si>
    <t>(line 32 + line 36)/2</t>
  </si>
  <si>
    <t xml:space="preserve"> Worksheet I RESERVED</t>
  </si>
  <si>
    <t>Average Life in Whole Years</t>
  </si>
  <si>
    <t xml:space="preserve"> Worksheet L RESERVED</t>
  </si>
  <si>
    <t>Note: PBOP Expense will be calculated in accordance with the settlement in Docket ER10-355.</t>
  </si>
  <si>
    <t>AEP APPALACHIAN TRANSMISSION COMPANY</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</si>
  <si>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</si>
  <si>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</si>
  <si>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 xml:space="preserve">Removes the impact of state regulatory deferrals or their amortization from Transmission O&amp;M expense. </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</si>
  <si>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</si>
  <si>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</si>
  <si>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Tax effect of permanent differences captures the differences in the income taxes due under the Federal and State calculations that are not the result of timing differeneces.  Transmission balances for the projected or actual period, will be filed and posted as part of the informational filing.</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</si>
  <si>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</si>
  <si>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</si>
  <si>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</si>
  <si>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</si>
  <si>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</si>
  <si>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PLANT</t>
  </si>
  <si>
    <t>RATES</t>
  </si>
  <si>
    <t>ACCT.</t>
  </si>
  <si>
    <t xml:space="preserve"> TRANSMISSION PLANT</t>
  </si>
  <si>
    <t xml:space="preserve">  Land Rights</t>
  </si>
  <si>
    <t xml:space="preserve">  Structures &amp; Improvements</t>
  </si>
  <si>
    <t xml:space="preserve">  Station Equipment</t>
  </si>
  <si>
    <t xml:space="preserve">  Towers &amp; Fixtures</t>
  </si>
  <si>
    <t xml:space="preserve">  Poles &amp; Fixtures</t>
  </si>
  <si>
    <t xml:space="preserve">  Overhead Conductor</t>
  </si>
  <si>
    <t xml:space="preserve">  Underground Conduit</t>
  </si>
  <si>
    <t xml:space="preserve">  Underground Conductors</t>
  </si>
  <si>
    <r>
      <t xml:space="preserve">Note: </t>
    </r>
    <r>
      <rPr>
        <sz val="12"/>
        <rFont val="Arial MT"/>
        <family val="0"/>
      </rPr>
      <t>Per the Settlement in Docket No. ER10-355, Appendix A.1.2, AEP APPALACHIAN TRANSMISSION COMPANY shall use the depreciation rates shown above by FERC Account until such time as the FERC approves new depreciation rates pusuant to a Section 205 or 206 filing to change rates.</t>
    </r>
  </si>
  <si>
    <t>APCo</t>
  </si>
  <si>
    <t>KgPCo</t>
  </si>
  <si>
    <t>TOTAL</t>
  </si>
  <si>
    <t>T-Plant (FF1 206.58.g)</t>
  </si>
  <si>
    <t>T-Plant (FF1 206.58.b)</t>
  </si>
  <si>
    <t>Average (Ln 1+ Ln 2)/2</t>
  </si>
  <si>
    <t>Depreciation (FF1 336.7.f)</t>
  </si>
  <si>
    <t>Composite Depreciation (Ln 3 / Ln 4)</t>
  </si>
  <si>
    <t>EFFECTIVE AS OF 07/1/2015</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</si>
  <si>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</si>
  <si>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</si>
  <si>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</si>
  <si>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Transmission Plant Balances in this study are projected or actual average beginning of year end of year balances.</t>
  </si>
  <si>
    <t>X</t>
  </si>
  <si>
    <t>Capital Structure</t>
  </si>
  <si>
    <t xml:space="preserve">   Annual Revenue Requirement, Less Lease Payments, Return and Taxes</t>
  </si>
  <si>
    <t xml:space="preserve">7) If AEP Transmission Companies have any directly assigned transmission facilities, the revenue credits in the formula rate </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</si>
  <si>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</si>
  <si>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</si>
  <si>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of the customer are included in the formula rate divisor; provided however, such addition to revenue credits shall not be reflected if the costs of such directly</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</si>
  <si>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</si>
  <si>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</si>
  <si>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</si>
  <si>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AEPTCo Subsidiaries in PJM</t>
  </si>
  <si>
    <t>Tennessee Excise Tax Rate</t>
  </si>
  <si>
    <t xml:space="preserve">Virginia State Tax Rate </t>
  </si>
  <si>
    <t>Real and Personal Property - West Virginia</t>
  </si>
  <si>
    <t>Real and Personal Property - Virginia</t>
  </si>
  <si>
    <t>Real and Personal Property - Tennessee</t>
  </si>
  <si>
    <t>VIRGINIA JURISDICTION</t>
  </si>
  <si>
    <t>WEST VA JURISDICTION</t>
  </si>
  <si>
    <t>TENNESSEE JURISDICTION</t>
  </si>
  <si>
    <t>open</t>
  </si>
  <si>
    <t>SUMMARY OF TRUED-UP ANNUAL REVENUE REQUIREMENTS FOR RTEP PROJECTS</t>
  </si>
  <si>
    <t>Balance @ December</t>
  </si>
  <si>
    <t xml:space="preserve">Interest Rate on Amount of Refunds or </t>
  </si>
  <si>
    <t>9280003</t>
  </si>
  <si>
    <t>9280004</t>
  </si>
  <si>
    <t>9280005</t>
  </si>
  <si>
    <t xml:space="preserve">Includes functional wages &amp; salaries billed by AEP Service Corporation  for support of the operating company. </t>
  </si>
  <si>
    <t xml:space="preserve"> Long Term Debt cost rate = long-term interest (Ln 156)/average long term debt (Ln 164).  Preferred Stock cost rate = preferred dividends (Ln 160) /preferred outstanding (ln 165).  Common Stock cost rate (ROE) = 11.49%, the rate accepted by FERC in Docket No. ER10-355.  It includes an additional 50 basis points for PJM RTO membership.  All Transmission Companies other than AEP Appalachian Transmission Company utilize their own capital structure and costs as shown on Worksheet M.  The calculations on Worksheet M will use the projected or actual arithmetic average of the beginning of year and end of year balances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capital structure including the begininning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</si>
  <si>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 xml:space="preserve">Beginning Balance of Regulatory Asset </t>
  </si>
  <si>
    <t xml:space="preserve">Total Regulatory Deferrals Included in Ratebase </t>
  </si>
  <si>
    <t>Apportionment Factor - Note 1</t>
  </si>
  <si>
    <t xml:space="preserve">Actual after True-up </t>
  </si>
  <si>
    <t>Surcharges (Note 1)</t>
  </si>
  <si>
    <r>
      <t>Note:</t>
    </r>
    <r>
      <rPr>
        <sz val="12"/>
        <rFont val="Arial"/>
        <family val="2"/>
      </rPr>
      <t xml:space="preserve"> AEP APPALACHIAN TRANSMISSION COMPANY shall initially use the composite depreciation rate for APCo and KgPCo shown above to estimate depreciation expense for transmission projects in Worksheets J and K until a composite depreciation rate based on transmission plant in service and depreciation expenses recorded by AEP APPALACHIAN TRANSMISSION COMPANY for its own transmission facilities can be calculated in AEP APPALACHIAN TRANSMISSION COMPANY's the first Annual Update including a True-Up TCOS.</t>
    </r>
  </si>
  <si>
    <t xml:space="preserve">On this worksheet, "Company Records" refers to AEP's tax accounting ledger.  </t>
  </si>
  <si>
    <t>Projected ending balances reflect proration required by IRS Letter Rule Section I.I67(I)-I(h)(6)(ii).</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</si>
</sst>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409]mmm\-yy;@"/>
    <numFmt numFmtId="198" formatCode="0.000000_)"/>
    <numFmt numFmtId="199" formatCode="#,##0.000000_);\(#,##0.000000\)"/>
    <numFmt numFmtId="200" formatCode="0_);\(0\)"/>
    <numFmt numFmtId="201" formatCode="0.0"/>
    <numFmt numFmtId="202" formatCode="&quot;$&quot;#,##0.0000"/>
    <numFmt numFmtId="203" formatCode="0.00000%"/>
    <numFmt numFmtId="204" formatCode="_(* #,##0.0000_);_(* \(#,##0.0000\);_(* &quot;-&quot;????_);_(@_)"/>
    <numFmt numFmtId="205" formatCode="[$-409]mmmm\ d\,\ yyyy;@"/>
    <numFmt numFmtId="206" formatCode="&quot;Yes&quot;;&quot;Yes&quot;;&quot;No&quot;"/>
    <numFmt numFmtId="207" formatCode="&quot;True&quot;;&quot;True&quot;;&quot;False&quot;"/>
    <numFmt numFmtId="208" formatCode="&quot;On&quot;;&quot;On&quot;;&quot;Off&quot;"/>
    <numFmt numFmtId="209" formatCode="[$€-2]\ #,##0.00_);[Red]\([$€-2]\ #,##0.00\)"/>
    <numFmt numFmtId="210" formatCode="_(* #,##0.0_);_(* \(#,##0.0\);_(* &quot;-&quot;_);_(@_)"/>
    <numFmt numFmtId="211" formatCode="_(* #,##0.00_);_(* \(#,##0.00\);_(* &quot;-&quot;_);_(@_)"/>
    <numFmt numFmtId="212" formatCode="0.0_);\(0.0\)"/>
    <numFmt numFmtId="213" formatCode="_(* #,##0.00000_);_(* \(#,##0.00000\);_(* &quot;-&quot;?????_);_(@_)"/>
    <numFmt numFmtId="214" formatCode="0.0000000000000000%"/>
    <numFmt numFmtId="215" formatCode="_(&quot;$&quot;* #,##0.0_);_(&quot;$&quot;* \(#,##0.0\);_(&quot;$&quot;* &quot;-&quot;??_);_(@_)"/>
    <numFmt numFmtId="216" formatCode="[$-409]dddd\,\ mmmm\ dd\,\ yyyy"/>
    <numFmt numFmtId="217" formatCode="[$-409]h:mm:ss\ AM/PM"/>
  </numFmts>
  <fonts count="128">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u val="single"/>
      <sz val="12"/>
      <name val="Arial MT"/>
      <family val="0"/>
    </font>
    <font>
      <u val="single"/>
      <sz val="12"/>
      <name val="Times New Roman"/>
      <family val="1"/>
    </font>
    <font>
      <sz val="14"/>
      <color indexed="9"/>
      <name val="Helv"/>
      <family val="0"/>
    </font>
    <font>
      <sz val="14"/>
      <color indexed="23"/>
      <name val="Helv"/>
      <family val="0"/>
    </font>
    <font>
      <sz val="12"/>
      <color indexed="10"/>
      <name val="Arial MT"/>
      <family val="0"/>
    </font>
    <font>
      <b/>
      <u val="single"/>
      <strike/>
      <sz val="10"/>
      <color indexed="10"/>
      <name val="Arial"/>
      <family val="2"/>
    </font>
    <font>
      <u val="single"/>
      <strike/>
      <sz val="10"/>
      <color indexed="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0"/>
      <name val="Arial MT"/>
      <family val="0"/>
    </font>
    <font>
      <sz val="12"/>
      <name val="Arial Black"/>
      <family val="2"/>
    </font>
    <font>
      <sz val="10"/>
      <color indexed="12"/>
      <name val="Courier"/>
      <family val="3"/>
    </font>
    <font>
      <i/>
      <sz val="12"/>
      <name val="Arial Condensed Bold"/>
      <family val="0"/>
    </font>
    <font>
      <b/>
      <u val="single"/>
      <strike/>
      <sz val="12"/>
      <color indexed="10"/>
      <name val="Arial"/>
      <family val="2"/>
    </font>
    <font>
      <sz val="12"/>
      <name val="Calibri"/>
      <family val="2"/>
    </font>
    <font>
      <sz val="10"/>
      <name val="Tahoma"/>
      <family val="2"/>
    </font>
    <font>
      <sz val="8"/>
      <name val="Tahoma"/>
      <family val="2"/>
    </font>
    <font>
      <b/>
      <i/>
      <u val="single"/>
      <sz val="10"/>
      <name val="Arial"/>
      <family val="2"/>
    </font>
    <font>
      <sz val="10"/>
      <color indexed="17"/>
      <name val="Arial"/>
      <family val="2"/>
    </font>
    <font>
      <b/>
      <sz val="10"/>
      <color indexed="17"/>
      <name val="Arial"/>
      <family val="2"/>
    </font>
    <font>
      <sz val="10"/>
      <color indexed="10"/>
      <name val="Times New Roman"/>
      <family val="1"/>
    </font>
    <font>
      <sz val="10"/>
      <color indexed="8"/>
      <name val="Arial"/>
      <family val="2"/>
    </font>
    <font>
      <i/>
      <sz val="14"/>
      <name val="Arial"/>
      <family val="2"/>
    </font>
    <font>
      <sz val="12"/>
      <color indexed="8"/>
      <name val="Helv"/>
      <family val="0"/>
    </font>
    <font>
      <sz val="12"/>
      <color indexed="8"/>
      <name val="Arial"/>
      <family val="2"/>
    </font>
    <font>
      <i/>
      <sz val="14"/>
      <name val="Helv"/>
      <family val="0"/>
    </font>
    <font>
      <sz val="12"/>
      <name val="Arial Narrow"/>
      <family val="2"/>
    </font>
    <font>
      <b/>
      <sz val="12"/>
      <name val="Arial Narrow"/>
      <family val="2"/>
    </font>
    <font>
      <b/>
      <u val="single"/>
      <sz val="12"/>
      <name val="Arial Narrow"/>
      <family val="2"/>
    </font>
    <font>
      <b/>
      <sz val="12"/>
      <name val="Arial Condensed Bold"/>
      <family val="0"/>
    </font>
    <font>
      <b/>
      <i/>
      <sz val="12"/>
      <name val="Arial MT"/>
      <family val="0"/>
    </font>
    <font>
      <b/>
      <u val="single"/>
      <sz val="12"/>
      <name val="Arial MT"/>
      <family val="0"/>
    </font>
    <font>
      <sz val="12"/>
      <name val="Times New Roman"/>
      <family val="1"/>
    </font>
    <font>
      <sz val="14"/>
      <name val="Arial Black"/>
      <family val="2"/>
    </font>
    <font>
      <b/>
      <sz val="18"/>
      <name val="Arial Narrow"/>
      <family val="2"/>
    </font>
    <font>
      <sz val="11"/>
      <color indexed="12"/>
      <name val="Arial"/>
      <family val="2"/>
    </font>
    <font>
      <b/>
      <u val="single"/>
      <sz val="11"/>
      <name val="Arial"/>
      <family val="2"/>
    </font>
    <font>
      <b/>
      <u val="single"/>
      <strike/>
      <sz val="11"/>
      <name val="Arial"/>
      <family val="2"/>
    </font>
    <font>
      <u val="singleAccounting"/>
      <sz val="11"/>
      <name val="Arial"/>
      <family val="2"/>
    </font>
    <font>
      <i/>
      <sz val="12"/>
      <color indexed="10"/>
      <name val="Arial"/>
      <family val="2"/>
    </font>
    <font>
      <b/>
      <sz val="10"/>
      <color rgb="FFFF0000"/>
      <name val="Arial"/>
      <family val="2"/>
    </font>
    <font>
      <i/>
      <sz val="12"/>
      <color rgb="FFFF0000"/>
      <name val="Arial"/>
      <family val="2"/>
    </font>
    <font>
      <sz val="10"/>
      <color rgb="FF0000FF"/>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rgb="FFCCFFFF"/>
        <bgColor indexed="64"/>
      </patternFill>
    </fill>
    <fill>
      <patternFill patternType="solid">
        <fgColor theme="0"/>
        <bgColor indexed="64"/>
      </patternFill>
    </fill>
    <fill>
      <patternFill patternType="solid">
        <fgColor theme="5" tint="0.7999799847602844"/>
        <bgColor indexed="64"/>
      </patternFill>
    </fill>
    <fill>
      <patternFill patternType="solid">
        <fgColor indexed="23"/>
        <bgColor indexed="64"/>
      </patternFill>
    </fill>
  </fills>
  <borders count="39">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bottom>
        <color indexed="63"/>
      </bottom>
    </border>
    <border>
      <left>
        <color indexed="63"/>
      </left>
      <right>
        <color indexed="63"/>
      </right>
      <top style="medium">
        <color indexed="8"/>
      </top>
      <bottom>
        <color indexed="63"/>
      </bottom>
    </border>
    <border>
      <left>
        <color indexed="63"/>
      </left>
      <right>
        <color indexed="63"/>
      </right>
      <top>
        <color indexed="63"/>
      </top>
      <bottom style="double"/>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1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1" fillId="0" borderId="7" applyNumberFormat="0" applyFill="0" applyAlignment="0" applyProtection="0"/>
    <xf numFmtId="0" fontId="5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172" fontId="1" fillId="0" borderId="0" applyProtection="0">
      <alignment/>
    </xf>
    <xf numFmtId="0" fontId="65" fillId="0" borderId="0">
      <alignment/>
      <protection/>
    </xf>
    <xf numFmtId="172" fontId="1" fillId="0" borderId="0" applyProtection="0">
      <alignment/>
    </xf>
    <xf numFmtId="0" fontId="1" fillId="0" borderId="0">
      <alignment/>
      <protection/>
    </xf>
    <xf numFmtId="0" fontId="0" fillId="0" borderId="0">
      <alignment/>
      <protection/>
    </xf>
    <xf numFmtId="0" fontId="100" fillId="0" borderId="0">
      <alignment/>
      <protection/>
    </xf>
    <xf numFmtId="0" fontId="1" fillId="23" borderId="8" applyNumberFormat="0" applyFon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cellStyleXfs>
  <cellXfs count="1325">
    <xf numFmtId="0" fontId="0" fillId="0" borderId="0" xfId="0" applyAlignment="1">
      <alignment/>
    </xf>
    <xf numFmtId="172" fontId="1" fillId="0" borderId="0" xfId="127" applyFont="1" applyAlignment="1">
      <alignment/>
    </xf>
    <xf numFmtId="49" fontId="3" fillId="0" borderId="0" xfId="127" applyNumberFormat="1" applyFont="1" applyAlignment="1">
      <alignment horizontal="center"/>
    </xf>
    <xf numFmtId="3" fontId="3" fillId="0" borderId="0" xfId="127" applyNumberFormat="1" applyFont="1" applyAlignment="1">
      <alignment/>
    </xf>
    <xf numFmtId="0" fontId="4" fillId="0" borderId="0" xfId="127" applyNumberFormat="1" applyFont="1" applyAlignment="1">
      <alignment horizontal="center"/>
    </xf>
    <xf numFmtId="0" fontId="0" fillId="0" borderId="0" xfId="0" applyAlignment="1">
      <alignment horizontal="center"/>
    </xf>
    <xf numFmtId="0" fontId="3" fillId="0" borderId="0" xfId="0" applyFont="1" applyAlignment="1">
      <alignment/>
    </xf>
    <xf numFmtId="3" fontId="3" fillId="0" borderId="0" xfId="127" applyNumberFormat="1" applyFont="1" applyFill="1" applyAlignment="1">
      <alignment/>
    </xf>
    <xf numFmtId="172" fontId="1" fillId="0" borderId="0" xfId="127" applyFont="1" applyFill="1" applyAlignment="1">
      <alignment/>
    </xf>
    <xf numFmtId="0" fontId="0" fillId="0" borderId="0" xfId="0" applyAlignment="1">
      <alignment/>
    </xf>
    <xf numFmtId="3" fontId="3" fillId="0" borderId="0" xfId="0" applyNumberFormat="1" applyFont="1" applyAlignment="1">
      <alignment horizontal="center"/>
    </xf>
    <xf numFmtId="172" fontId="3" fillId="0" borderId="0" xfId="127" applyFont="1" applyAlignment="1" applyProtection="1">
      <alignment/>
      <protection locked="0"/>
    </xf>
    <xf numFmtId="172" fontId="3" fillId="0" borderId="0" xfId="127" applyFont="1" applyFill="1" applyAlignment="1" applyProtection="1">
      <alignment/>
      <protection locked="0"/>
    </xf>
    <xf numFmtId="172" fontId="3" fillId="0" borderId="0" xfId="127" applyFont="1" applyAlignment="1">
      <alignment/>
    </xf>
    <xf numFmtId="0" fontId="3" fillId="0" borderId="0" xfId="127" applyNumberFormat="1" applyFont="1" applyAlignment="1" applyProtection="1">
      <alignment/>
      <protection locked="0"/>
    </xf>
    <xf numFmtId="0" fontId="3" fillId="0" borderId="0" xfId="127" applyNumberFormat="1" applyFont="1" applyProtection="1">
      <alignment/>
      <protection locked="0"/>
    </xf>
    <xf numFmtId="3" fontId="3" fillId="0" borderId="0" xfId="127" applyNumberFormat="1" applyFont="1" applyAlignment="1" applyProtection="1">
      <alignment/>
      <protection locked="0"/>
    </xf>
    <xf numFmtId="0" fontId="3" fillId="0" borderId="0" xfId="127" applyNumberFormat="1" applyFont="1" applyFill="1" applyProtection="1">
      <alignment/>
      <protection locked="0"/>
    </xf>
    <xf numFmtId="3" fontId="3" fillId="0" borderId="0" xfId="127" applyNumberFormat="1" applyFont="1" applyFill="1" applyAlignment="1" applyProtection="1">
      <alignment/>
      <protection locked="0"/>
    </xf>
    <xf numFmtId="3" fontId="3" fillId="0" borderId="0" xfId="127" applyNumberFormat="1" applyFont="1" applyAlignment="1" applyProtection="1">
      <alignment horizontal="center"/>
      <protection locked="0"/>
    </xf>
    <xf numFmtId="0" fontId="3" fillId="0" borderId="0" xfId="127" applyNumberFormat="1" applyFont="1" applyAlignment="1">
      <alignment/>
    </xf>
    <xf numFmtId="3" fontId="4" fillId="0" borderId="0" xfId="127" applyNumberFormat="1" applyFont="1" applyAlignment="1" applyProtection="1">
      <alignment horizontal="center"/>
      <protection locked="0"/>
    </xf>
    <xf numFmtId="3" fontId="3" fillId="0" borderId="0" xfId="127" applyNumberFormat="1" applyFont="1" applyAlignment="1" applyProtection="1">
      <alignment vertical="center"/>
      <protection locked="0"/>
    </xf>
    <xf numFmtId="164" fontId="3" fillId="0" borderId="0" xfId="127" applyNumberFormat="1" applyFont="1" applyFill="1" applyAlignment="1" applyProtection="1">
      <alignment horizontal="left"/>
      <protection locked="0"/>
    </xf>
    <xf numFmtId="175" fontId="3" fillId="0" borderId="0" xfId="127" applyNumberFormat="1" applyFont="1" applyAlignment="1">
      <alignment/>
    </xf>
    <xf numFmtId="172" fontId="4" fillId="0" borderId="0" xfId="127" applyFont="1" applyAlignment="1">
      <alignment/>
    </xf>
    <xf numFmtId="0" fontId="3" fillId="0" borderId="0" xfId="127" applyNumberFormat="1" applyFont="1" applyFill="1" applyAlignment="1" applyProtection="1">
      <alignment/>
      <protection locked="0"/>
    </xf>
    <xf numFmtId="172" fontId="3" fillId="0" borderId="0" xfId="127" applyFont="1" applyFill="1" applyAlignment="1">
      <alignment/>
    </xf>
    <xf numFmtId="3" fontId="3" fillId="0" borderId="0" xfId="127" applyNumberFormat="1" applyFont="1" applyAlignment="1" applyProtection="1">
      <alignment horizontal="right"/>
      <protection locked="0"/>
    </xf>
    <xf numFmtId="0" fontId="3" fillId="0" borderId="0" xfId="127" applyNumberFormat="1" applyFont="1" applyFill="1" applyAlignment="1" applyProtection="1">
      <alignment horizontal="center"/>
      <protection locked="0"/>
    </xf>
    <xf numFmtId="3" fontId="3" fillId="0" borderId="0" xfId="127" applyNumberFormat="1" applyFont="1" applyAlignment="1" applyProtection="1" quotePrefix="1">
      <alignment/>
      <protection locked="0"/>
    </xf>
    <xf numFmtId="3" fontId="4" fillId="0" borderId="0" xfId="127" applyNumberFormat="1" applyFont="1" applyAlignment="1" applyProtection="1" quotePrefix="1">
      <alignment/>
      <protection locked="0"/>
    </xf>
    <xf numFmtId="0" fontId="3" fillId="0" borderId="0" xfId="127" applyNumberFormat="1" applyFont="1" applyFill="1">
      <alignment/>
    </xf>
    <xf numFmtId="0" fontId="1" fillId="0" borderId="0" xfId="127" applyNumberFormat="1" applyFont="1" applyFill="1" applyAlignment="1" applyProtection="1">
      <alignment horizontal="center"/>
      <protection locked="0"/>
    </xf>
    <xf numFmtId="0" fontId="3" fillId="0" borderId="0" xfId="127" applyNumberFormat="1" applyFont="1" applyAlignment="1" applyProtection="1">
      <alignment horizontal="right"/>
      <protection locked="0"/>
    </xf>
    <xf numFmtId="0" fontId="0" fillId="0" borderId="0" xfId="0" applyFont="1" applyFill="1" applyAlignment="1">
      <alignment/>
    </xf>
    <xf numFmtId="0" fontId="0" fillId="0" borderId="0" xfId="0" applyFont="1" applyAlignment="1">
      <alignment/>
    </xf>
    <xf numFmtId="41" fontId="3" fillId="0" borderId="0" xfId="127" applyNumberFormat="1" applyFont="1" applyAlignment="1" applyProtection="1">
      <alignment/>
      <protection locked="0"/>
    </xf>
    <xf numFmtId="0" fontId="9" fillId="0" borderId="0" xfId="124" applyFont="1" applyFill="1" applyAlignment="1">
      <alignment horizontal="center"/>
      <protection/>
    </xf>
    <xf numFmtId="0" fontId="14" fillId="0" borderId="0" xfId="124" applyFont="1" applyFill="1">
      <alignment/>
      <protection/>
    </xf>
    <xf numFmtId="9" fontId="9" fillId="0" borderId="0" xfId="124" applyNumberFormat="1" applyFont="1" applyFill="1" applyAlignment="1" quotePrefix="1">
      <alignment horizontal="center"/>
      <protection/>
    </xf>
    <xf numFmtId="0" fontId="16" fillId="0" borderId="0" xfId="124" applyFont="1" applyAlignment="1">
      <alignment horizontal="center"/>
      <protection/>
    </xf>
    <xf numFmtId="0" fontId="16" fillId="0" borderId="0" xfId="124" applyFont="1" applyFill="1" applyAlignment="1">
      <alignment horizontal="center"/>
      <protection/>
    </xf>
    <xf numFmtId="9" fontId="9" fillId="0" borderId="0" xfId="124" applyNumberFormat="1" applyFont="1" applyFill="1" applyAlignment="1">
      <alignment horizontal="center"/>
      <protection/>
    </xf>
    <xf numFmtId="172" fontId="3" fillId="0" borderId="0" xfId="127" applyFont="1" applyFill="1" applyAlignment="1" applyProtection="1">
      <alignment horizontal="right"/>
      <protection locked="0"/>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0" fontId="0" fillId="0" borderId="0" xfId="0" applyAlignment="1">
      <alignment wrapText="1"/>
    </xf>
    <xf numFmtId="0" fontId="2" fillId="0" borderId="0" xfId="0" applyFont="1" applyAlignment="1">
      <alignment/>
    </xf>
    <xf numFmtId="0" fontId="3" fillId="0" borderId="0" xfId="0" applyFont="1" applyFill="1" applyAlignment="1">
      <alignment/>
    </xf>
    <xf numFmtId="172" fontId="3" fillId="0" borderId="0" xfId="127" applyFont="1" applyAlignment="1">
      <alignment horizontal="right"/>
    </xf>
    <xf numFmtId="0" fontId="0" fillId="0" borderId="0" xfId="0" applyFill="1" applyAlignment="1">
      <alignment/>
    </xf>
    <xf numFmtId="0" fontId="0" fillId="0" borderId="0" xfId="0" applyFont="1" applyFill="1" applyAlignment="1">
      <alignment horizontal="center"/>
    </xf>
    <xf numFmtId="0" fontId="14" fillId="0" borderId="0" xfId="0" applyFont="1" applyFill="1" applyAlignment="1">
      <alignment/>
    </xf>
    <xf numFmtId="0" fontId="17" fillId="0" borderId="0" xfId="0" applyFont="1" applyAlignment="1">
      <alignment/>
    </xf>
    <xf numFmtId="0" fontId="0" fillId="0" borderId="0" xfId="124" applyFont="1" applyFill="1">
      <alignment/>
      <protection/>
    </xf>
    <xf numFmtId="0" fontId="14" fillId="0" borderId="0" xfId="124" applyFont="1" applyFill="1" applyAlignment="1">
      <alignment horizontal="left"/>
      <protection/>
    </xf>
    <xf numFmtId="3" fontId="0" fillId="0" borderId="0" xfId="0" applyNumberFormat="1" applyFont="1" applyFill="1" applyAlignment="1">
      <alignment/>
    </xf>
    <xf numFmtId="0" fontId="3" fillId="0" borderId="0" xfId="124" applyFont="1" applyFill="1" applyAlignment="1">
      <alignment horizontal="right"/>
      <protection/>
    </xf>
    <xf numFmtId="40" fontId="0" fillId="0" borderId="0" xfId="0" applyNumberFormat="1" applyFont="1" applyFill="1" applyAlignment="1">
      <alignment/>
    </xf>
    <xf numFmtId="172" fontId="21" fillId="0" borderId="0" xfId="127" applyFont="1" applyAlignment="1">
      <alignment/>
    </xf>
    <xf numFmtId="0" fontId="0" fillId="0" borderId="0" xfId="124" applyFont="1">
      <alignment/>
      <protection/>
    </xf>
    <xf numFmtId="0" fontId="3" fillId="0" borderId="0" xfId="124" applyFont="1" applyFill="1">
      <alignment/>
      <protection/>
    </xf>
    <xf numFmtId="0" fontId="9" fillId="0" borderId="0" xfId="124" applyFont="1" applyFill="1" applyBorder="1" applyAlignment="1">
      <alignment horizontal="left"/>
      <protection/>
    </xf>
    <xf numFmtId="0" fontId="9" fillId="0" borderId="0" xfId="124" applyFont="1" applyFill="1" applyBorder="1">
      <alignment/>
      <protection/>
    </xf>
    <xf numFmtId="0" fontId="0" fillId="0" borderId="0" xfId="124" applyFont="1" applyAlignment="1">
      <alignment horizontal="left"/>
      <protection/>
    </xf>
    <xf numFmtId="0" fontId="4" fillId="0" borderId="0" xfId="124" applyFont="1" applyFill="1" applyAlignment="1">
      <alignment horizontal="center"/>
      <protection/>
    </xf>
    <xf numFmtId="37" fontId="3" fillId="0" borderId="0" xfId="0" applyNumberFormat="1" applyFont="1" applyFill="1" applyAlignment="1">
      <alignment/>
    </xf>
    <xf numFmtId="0" fontId="3" fillId="0" borderId="0" xfId="0"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176" fontId="3" fillId="0" borderId="0" xfId="0" applyNumberFormat="1" applyFont="1" applyFill="1" applyAlignment="1">
      <alignment/>
    </xf>
    <xf numFmtId="3" fontId="18" fillId="0" borderId="0" xfId="0" applyNumberFormat="1" applyFont="1" applyFill="1" applyAlignment="1">
      <alignment/>
    </xf>
    <xf numFmtId="41" fontId="18" fillId="0" borderId="0" xfId="124" applyNumberFormat="1" applyFont="1" applyFill="1" applyBorder="1">
      <alignment/>
      <protection/>
    </xf>
    <xf numFmtId="0" fontId="24" fillId="0" borderId="0" xfId="124" applyFont="1" applyFill="1" applyAlignment="1">
      <alignment horizontal="left"/>
      <protection/>
    </xf>
    <xf numFmtId="0" fontId="3" fillId="0" borderId="0" xfId="124" applyFont="1" applyFill="1">
      <alignment/>
      <protection/>
    </xf>
    <xf numFmtId="41" fontId="3" fillId="0" borderId="0" xfId="124" applyNumberFormat="1" applyFont="1" applyFill="1">
      <alignment/>
      <protection/>
    </xf>
    <xf numFmtId="41" fontId="3" fillId="0" borderId="0" xfId="124" applyNumberFormat="1" applyFont="1" applyFill="1" applyBorder="1" applyAlignment="1">
      <alignment vertical="top"/>
      <protection/>
    </xf>
    <xf numFmtId="181" fontId="3" fillId="0" borderId="0" xfId="124" applyNumberFormat="1" applyFont="1" applyFill="1">
      <alignment/>
      <protection/>
    </xf>
    <xf numFmtId="41" fontId="3" fillId="0" borderId="0" xfId="124" applyNumberFormat="1" applyFont="1" applyFill="1" applyBorder="1">
      <alignment/>
      <protection/>
    </xf>
    <xf numFmtId="0" fontId="3" fillId="0" borderId="0" xfId="124" applyFont="1" applyFill="1" applyAlignment="1">
      <alignment horizontal="left"/>
      <protection/>
    </xf>
    <xf numFmtId="0" fontId="25" fillId="0" borderId="0" xfId="124" applyFont="1" applyFill="1" applyBorder="1">
      <alignment/>
      <protection/>
    </xf>
    <xf numFmtId="0" fontId="3" fillId="0" borderId="0" xfId="124" applyFont="1" applyFill="1" applyAlignment="1">
      <alignment horizontal="center"/>
      <protection/>
    </xf>
    <xf numFmtId="0" fontId="10" fillId="0" borderId="0" xfId="124" applyFont="1" applyFill="1" applyAlignment="1">
      <alignment horizontal="center"/>
      <protection/>
    </xf>
    <xf numFmtId="173" fontId="3" fillId="0" borderId="0" xfId="124" applyNumberFormat="1" applyFont="1" applyFill="1">
      <alignment/>
      <protection/>
    </xf>
    <xf numFmtId="173" fontId="3" fillId="0" borderId="0" xfId="124" applyNumberFormat="1" applyFont="1" applyFill="1" applyBorder="1" applyAlignment="1">
      <alignment vertical="top"/>
      <protection/>
    </xf>
    <xf numFmtId="41" fontId="3" fillId="0" borderId="13" xfId="124" applyNumberFormat="1" applyFont="1" applyFill="1" applyBorder="1">
      <alignment/>
      <protection/>
    </xf>
    <xf numFmtId="173" fontId="4" fillId="0" borderId="0" xfId="73" applyNumberFormat="1" applyFont="1" applyFill="1" applyAlignment="1">
      <alignment horizontal="center"/>
    </xf>
    <xf numFmtId="0" fontId="3" fillId="0" borderId="0" xfId="124" applyFont="1" applyFill="1" applyAlignment="1">
      <alignment horizontal="center"/>
      <protection/>
    </xf>
    <xf numFmtId="0" fontId="26" fillId="0" borderId="0" xfId="124" applyFont="1" applyFill="1" applyBorder="1">
      <alignment/>
      <protection/>
    </xf>
    <xf numFmtId="41" fontId="3" fillId="0" borderId="13" xfId="124" applyNumberFormat="1" applyFont="1" applyFill="1" applyBorder="1">
      <alignment/>
      <protection/>
    </xf>
    <xf numFmtId="41" fontId="3" fillId="0" borderId="0" xfId="127" applyNumberFormat="1" applyFont="1" applyAlignment="1" applyProtection="1">
      <alignment horizontal="right"/>
      <protection locked="0"/>
    </xf>
    <xf numFmtId="178" fontId="3" fillId="0" borderId="0" xfId="127" applyNumberFormat="1" applyFont="1" applyAlignment="1">
      <alignment/>
    </xf>
    <xf numFmtId="38" fontId="0" fillId="0" borderId="0" xfId="0" applyNumberFormat="1" applyFont="1" applyFill="1" applyBorder="1" applyAlignment="1">
      <alignment/>
    </xf>
    <xf numFmtId="40" fontId="3" fillId="0" borderId="0" xfId="124"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43" fontId="3" fillId="0" borderId="0" xfId="124" applyNumberFormat="1" applyFont="1" applyFill="1">
      <alignment/>
      <protection/>
    </xf>
    <xf numFmtId="3" fontId="3" fillId="0" borderId="0" xfId="0" applyNumberFormat="1" applyFont="1" applyFill="1" applyAlignment="1">
      <alignment/>
    </xf>
    <xf numFmtId="41" fontId="18" fillId="20" borderId="0" xfId="124" applyNumberFormat="1" applyFont="1" applyFill="1" applyBorder="1">
      <alignment/>
      <protection/>
    </xf>
    <xf numFmtId="0" fontId="7" fillId="0" borderId="0" xfId="114" applyFont="1" applyFill="1" applyBorder="1" applyAlignment="1">
      <alignment horizontal="left"/>
      <protection/>
    </xf>
    <xf numFmtId="0" fontId="0" fillId="0" borderId="0" xfId="114" applyFont="1" applyBorder="1" applyAlignment="1">
      <alignment/>
      <protection/>
    </xf>
    <xf numFmtId="0" fontId="0" fillId="0" borderId="0" xfId="114" applyFont="1" applyBorder="1" applyAlignment="1">
      <alignment horizontal="center"/>
      <protection/>
    </xf>
    <xf numFmtId="0" fontId="0" fillId="0" borderId="0" xfId="114" applyFont="1" applyBorder="1">
      <alignment/>
      <protection/>
    </xf>
    <xf numFmtId="0" fontId="0" fillId="0" borderId="0" xfId="114" applyNumberFormat="1" applyFont="1" applyFill="1" applyBorder="1" applyAlignment="1">
      <alignment horizontal="left"/>
      <protection/>
    </xf>
    <xf numFmtId="0" fontId="9" fillId="0" borderId="0" xfId="114" applyNumberFormat="1" applyFont="1" applyFill="1" applyBorder="1" applyAlignment="1">
      <alignment horizontal="left"/>
      <protection/>
    </xf>
    <xf numFmtId="0" fontId="0" fillId="0" borderId="0" xfId="114" applyFont="1" applyFill="1" applyBorder="1" applyAlignment="1">
      <alignment horizontal="center" wrapText="1"/>
      <protection/>
    </xf>
    <xf numFmtId="3" fontId="0" fillId="0" borderId="0" xfId="114" applyNumberFormat="1" applyFont="1" applyFill="1" applyBorder="1" applyAlignment="1">
      <alignment/>
      <protection/>
    </xf>
    <xf numFmtId="0" fontId="0" fillId="0" borderId="0" xfId="114" applyFont="1" applyFill="1" applyBorder="1" applyAlignment="1">
      <alignment/>
      <protection/>
    </xf>
    <xf numFmtId="0" fontId="0" fillId="0" borderId="0" xfId="114" applyNumberFormat="1" applyFont="1" applyFill="1" applyBorder="1" applyAlignment="1">
      <alignment horizontal="center"/>
      <protection/>
    </xf>
    <xf numFmtId="173" fontId="0" fillId="0" borderId="0" xfId="76" applyNumberFormat="1" applyFont="1" applyFill="1" applyBorder="1" applyAlignment="1">
      <alignment horizontal="right"/>
    </xf>
    <xf numFmtId="0" fontId="8" fillId="0" borderId="0" xfId="114" applyFont="1" applyFill="1" applyBorder="1" applyAlignment="1">
      <alignment/>
      <protection/>
    </xf>
    <xf numFmtId="0" fontId="0" fillId="0" borderId="0" xfId="114" applyFont="1" applyFill="1" applyBorder="1">
      <alignment/>
      <protection/>
    </xf>
    <xf numFmtId="0" fontId="9" fillId="0" borderId="0" xfId="114" applyFont="1" applyBorder="1" applyAlignment="1">
      <alignment/>
      <protection/>
    </xf>
    <xf numFmtId="0" fontId="9" fillId="0" borderId="0" xfId="114" applyNumberFormat="1" applyFont="1" applyFill="1" applyBorder="1" applyAlignment="1">
      <alignment horizontal="center"/>
      <protection/>
    </xf>
    <xf numFmtId="164" fontId="0" fillId="0" borderId="0" xfId="137" applyNumberFormat="1" applyFont="1" applyFill="1" applyBorder="1" applyAlignment="1">
      <alignment/>
    </xf>
    <xf numFmtId="173" fontId="0" fillId="0" borderId="0" xfId="76" applyNumberFormat="1" applyFont="1" applyFill="1" applyBorder="1" applyAlignment="1">
      <alignment horizontal="left"/>
    </xf>
    <xf numFmtId="0" fontId="0" fillId="0" borderId="0" xfId="0" applyAlignment="1">
      <alignment horizontal="center" wrapText="1"/>
    </xf>
    <xf numFmtId="0" fontId="0" fillId="0" borderId="0" xfId="0" applyFont="1" applyFill="1" applyAlignment="1">
      <alignment/>
    </xf>
    <xf numFmtId="0" fontId="18" fillId="0" borderId="0" xfId="124" applyFont="1" applyFill="1">
      <alignment/>
      <protection/>
    </xf>
    <xf numFmtId="0" fontId="9" fillId="0" borderId="0" xfId="114" applyFont="1" applyFill="1" applyBorder="1" applyAlignment="1">
      <alignment horizontal="left"/>
      <protection/>
    </xf>
    <xf numFmtId="0" fontId="9" fillId="0" borderId="0" xfId="114" applyFont="1" applyFill="1" applyBorder="1" applyAlignment="1">
      <alignment horizontal="center"/>
      <protection/>
    </xf>
    <xf numFmtId="173" fontId="0" fillId="0" borderId="14" xfId="76" applyNumberFormat="1" applyFont="1" applyFill="1" applyBorder="1" applyAlignment="1">
      <alignment horizontal="right"/>
    </xf>
    <xf numFmtId="0" fontId="9" fillId="0" borderId="0" xfId="114" applyFont="1" applyBorder="1" applyAlignment="1">
      <alignment horizontal="center"/>
      <protection/>
    </xf>
    <xf numFmtId="0" fontId="0" fillId="0" borderId="0" xfId="124" applyFont="1" applyAlignment="1">
      <alignment horizontal="center"/>
      <protection/>
    </xf>
    <xf numFmtId="0" fontId="3" fillId="0" borderId="0" xfId="114" applyFont="1" applyBorder="1" applyAlignment="1">
      <alignment horizontal="center"/>
      <protection/>
    </xf>
    <xf numFmtId="49" fontId="3" fillId="0" borderId="0" xfId="124" applyNumberFormat="1" applyFont="1" applyAlignment="1">
      <alignment horizontal="center"/>
      <protection/>
    </xf>
    <xf numFmtId="3" fontId="3" fillId="0" borderId="0" xfId="127" applyNumberFormat="1" applyFont="1" applyFill="1" applyAlignment="1" applyProtection="1">
      <alignment vertical="center"/>
      <protection locked="0"/>
    </xf>
    <xf numFmtId="0" fontId="9" fillId="0" borderId="0" xfId="114" applyFont="1" applyBorder="1">
      <alignment/>
      <protection/>
    </xf>
    <xf numFmtId="3" fontId="3" fillId="0" borderId="0" xfId="0" applyNumberFormat="1" applyFont="1" applyFill="1" applyAlignment="1">
      <alignment horizontal="center"/>
    </xf>
    <xf numFmtId="3" fontId="10" fillId="0" borderId="0" xfId="0" applyNumberFormat="1" applyFont="1" applyFill="1" applyAlignment="1">
      <alignment horizontal="center"/>
    </xf>
    <xf numFmtId="173" fontId="0" fillId="0" borderId="0" xfId="73" applyNumberFormat="1" applyAlignment="1">
      <alignment/>
    </xf>
    <xf numFmtId="0" fontId="0" fillId="0" borderId="0" xfId="0" applyFont="1" applyBorder="1" applyAlignment="1">
      <alignment/>
    </xf>
    <xf numFmtId="0" fontId="0" fillId="0" borderId="0" xfId="0" applyFont="1" applyAlignment="1">
      <alignment horizontal="center"/>
    </xf>
    <xf numFmtId="173" fontId="0" fillId="0" borderId="0" xfId="73" applyNumberFormat="1" applyFill="1" applyAlignment="1">
      <alignment/>
    </xf>
    <xf numFmtId="0" fontId="66" fillId="0" borderId="0" xfId="128" applyFont="1">
      <alignment/>
      <protection/>
    </xf>
    <xf numFmtId="186" fontId="17" fillId="0" borderId="0" xfId="128" applyNumberFormat="1" applyFont="1" applyAlignment="1">
      <alignment horizontal="center"/>
      <protection/>
    </xf>
    <xf numFmtId="0" fontId="0" fillId="0" borderId="0" xfId="128" applyFont="1">
      <alignment/>
      <protection/>
    </xf>
    <xf numFmtId="0" fontId="17" fillId="0" borderId="0" xfId="128" applyFont="1">
      <alignment/>
      <protection/>
    </xf>
    <xf numFmtId="0" fontId="17" fillId="0" borderId="0" xfId="128" applyNumberFormat="1" applyFont="1" applyAlignment="1">
      <alignment horizontal="center"/>
      <protection/>
    </xf>
    <xf numFmtId="0" fontId="17" fillId="0" borderId="0" xfId="128" applyNumberFormat="1" applyFont="1">
      <alignment/>
      <protection/>
    </xf>
    <xf numFmtId="0" fontId="17" fillId="0" borderId="0" xfId="128" applyNumberFormat="1" applyFont="1" applyBorder="1" applyAlignment="1">
      <alignment horizontal="center"/>
      <protection/>
    </xf>
    <xf numFmtId="0" fontId="68" fillId="0" borderId="0" xfId="128" applyFont="1">
      <alignment/>
      <protection/>
    </xf>
    <xf numFmtId="0" fontId="69" fillId="0" borderId="0" xfId="128" applyFont="1">
      <alignment/>
      <protection/>
    </xf>
    <xf numFmtId="186" fontId="0" fillId="0" borderId="0" xfId="128" applyNumberFormat="1" applyFont="1">
      <alignment/>
      <protection/>
    </xf>
    <xf numFmtId="0" fontId="17" fillId="0" borderId="0" xfId="125" applyFont="1" applyFill="1" applyAlignment="1">
      <alignment horizontal="center"/>
      <protection/>
    </xf>
    <xf numFmtId="0" fontId="17" fillId="0" borderId="0" xfId="125" applyFont="1" applyFill="1" applyAlignment="1">
      <alignment horizontal="left" indent="2"/>
      <protection/>
    </xf>
    <xf numFmtId="39" fontId="17" fillId="0" borderId="0" xfId="125" applyNumberFormat="1" applyFont="1" applyFill="1">
      <alignment/>
      <protection/>
    </xf>
    <xf numFmtId="0" fontId="66" fillId="0" borderId="0" xfId="128" applyFont="1" applyFill="1">
      <alignment/>
      <protection/>
    </xf>
    <xf numFmtId="0" fontId="0" fillId="0" borderId="0" xfId="128" applyNumberFormat="1" applyFont="1" applyAlignment="1">
      <alignment horizontal="center"/>
      <protection/>
    </xf>
    <xf numFmtId="0" fontId="0" fillId="0" borderId="0" xfId="128" applyNumberFormat="1" applyFont="1">
      <alignment/>
      <protection/>
    </xf>
    <xf numFmtId="173" fontId="66" fillId="0" borderId="14" xfId="73" applyNumberFormat="1" applyFont="1" applyBorder="1" applyAlignment="1">
      <alignment/>
    </xf>
    <xf numFmtId="0" fontId="66" fillId="0" borderId="0" xfId="0" applyFont="1" applyAlignment="1">
      <alignment/>
    </xf>
    <xf numFmtId="10" fontId="3" fillId="0" borderId="14" xfId="0" applyNumberFormat="1" applyFont="1" applyFill="1" applyBorder="1" applyAlignment="1">
      <alignment/>
    </xf>
    <xf numFmtId="182" fontId="3" fillId="0" borderId="0" xfId="73" applyNumberFormat="1" applyFont="1" applyAlignment="1" applyProtection="1">
      <alignment/>
      <protection locked="0"/>
    </xf>
    <xf numFmtId="173" fontId="0" fillId="0" borderId="0" xfId="73" applyNumberFormat="1" applyFont="1" applyFill="1" applyAlignment="1">
      <alignment/>
    </xf>
    <xf numFmtId="173" fontId="0" fillId="0" borderId="0" xfId="0" applyNumberFormat="1" applyAlignment="1">
      <alignment/>
    </xf>
    <xf numFmtId="173" fontId="0" fillId="0" borderId="0" xfId="73" applyNumberFormat="1" applyFont="1" applyFill="1" applyAlignment="1">
      <alignment/>
    </xf>
    <xf numFmtId="0" fontId="0" fillId="0" borderId="0" xfId="124" applyFill="1" applyAlignment="1">
      <alignment horizontal="left"/>
      <protection/>
    </xf>
    <xf numFmtId="0" fontId="74" fillId="0" borderId="0" xfId="124" applyFont="1" applyFill="1" applyBorder="1" applyAlignment="1">
      <alignment horizontal="left"/>
      <protection/>
    </xf>
    <xf numFmtId="0" fontId="0" fillId="0" borderId="0" xfId="124" applyFill="1">
      <alignment/>
      <protection/>
    </xf>
    <xf numFmtId="0" fontId="74" fillId="0" borderId="0" xfId="124" applyFont="1" applyFill="1" applyBorder="1">
      <alignment/>
      <protection/>
    </xf>
    <xf numFmtId="0" fontId="64" fillId="0" borderId="0" xfId="124" applyFont="1" applyFill="1" applyAlignment="1">
      <alignment horizontal="center"/>
      <protection/>
    </xf>
    <xf numFmtId="38" fontId="0" fillId="0" borderId="15" xfId="0" applyNumberFormat="1" applyFont="1" applyFill="1" applyBorder="1" applyAlignment="1">
      <alignment/>
    </xf>
    <xf numFmtId="38" fontId="0" fillId="0" borderId="0" xfId="0" applyNumberFormat="1" applyFont="1" applyFill="1" applyBorder="1" applyAlignment="1">
      <alignment/>
    </xf>
    <xf numFmtId="0" fontId="75" fillId="0" borderId="0" xfId="114" applyNumberFormat="1" applyFont="1" applyFill="1" applyBorder="1" applyAlignment="1">
      <alignment horizontal="left"/>
      <protection/>
    </xf>
    <xf numFmtId="38" fontId="0" fillId="0" borderId="0" xfId="114" applyNumberFormat="1" applyFont="1" applyFill="1" applyBorder="1" applyAlignment="1">
      <alignment horizontal="right"/>
      <protection/>
    </xf>
    <xf numFmtId="0" fontId="0" fillId="0" borderId="0" xfId="114"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114" applyFont="1" applyBorder="1" applyAlignment="1">
      <alignment horizontal="center"/>
      <protection/>
    </xf>
    <xf numFmtId="38" fontId="8" fillId="0" borderId="0" xfId="114" applyNumberFormat="1" applyFont="1" applyFill="1" applyBorder="1" applyAlignment="1">
      <alignment/>
      <protection/>
    </xf>
    <xf numFmtId="173" fontId="8" fillId="0" borderId="14" xfId="73" applyNumberFormat="1" applyFont="1" applyFill="1" applyBorder="1" applyAlignment="1">
      <alignment/>
    </xf>
    <xf numFmtId="0" fontId="0" fillId="0" borderId="14" xfId="114" applyNumberFormat="1" applyFont="1" applyFill="1" applyBorder="1" applyAlignment="1">
      <alignment horizontal="left"/>
      <protection/>
    </xf>
    <xf numFmtId="0" fontId="0" fillId="0" borderId="0" xfId="128" applyNumberFormat="1" applyFont="1" applyFill="1">
      <alignment/>
      <protection/>
    </xf>
    <xf numFmtId="173" fontId="66" fillId="0" borderId="0" xfId="128" applyNumberFormat="1" applyFont="1" applyFill="1">
      <alignment/>
      <protection/>
    </xf>
    <xf numFmtId="3" fontId="2" fillId="0" borderId="0" xfId="0" applyNumberFormat="1" applyFont="1" applyAlignment="1">
      <alignment horizontal="center"/>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173" fontId="0" fillId="0" borderId="0" xfId="73" applyNumberFormat="1" applyFont="1" applyAlignment="1">
      <alignment/>
    </xf>
    <xf numFmtId="0" fontId="14" fillId="0" borderId="0" xfId="124" applyFont="1">
      <alignment/>
      <protection/>
    </xf>
    <xf numFmtId="0" fontId="0" fillId="0" borderId="0" xfId="124" applyAlignment="1">
      <alignment horizontal="left"/>
      <protection/>
    </xf>
    <xf numFmtId="0" fontId="0" fillId="0" borderId="0" xfId="124">
      <alignment/>
      <protection/>
    </xf>
    <xf numFmtId="0" fontId="14" fillId="0" borderId="0" xfId="124" applyFont="1" applyAlignment="1">
      <alignment horizontal="left"/>
      <protection/>
    </xf>
    <xf numFmtId="187" fontId="3" fillId="0" borderId="0" xfId="127" applyNumberFormat="1" applyFont="1" applyProtection="1">
      <alignment/>
      <protection locked="0"/>
    </xf>
    <xf numFmtId="43" fontId="3" fillId="0" borderId="0" xfId="127" applyNumberFormat="1" applyFont="1" applyAlignment="1" applyProtection="1">
      <alignment horizontal="right"/>
      <protection locked="0"/>
    </xf>
    <xf numFmtId="164" fontId="3" fillId="0" borderId="0" xfId="135" applyNumberFormat="1" applyFont="1" applyAlignment="1">
      <alignment/>
    </xf>
    <xf numFmtId="42" fontId="3" fillId="0" borderId="0" xfId="135" applyNumberFormat="1" applyFont="1" applyAlignment="1">
      <alignment/>
    </xf>
    <xf numFmtId="43" fontId="3" fillId="0" borderId="0" xfId="73" applyFont="1" applyAlignment="1">
      <alignment/>
    </xf>
    <xf numFmtId="0" fontId="0" fillId="20" borderId="0" xfId="114" applyNumberFormat="1" applyFont="1" applyFill="1" applyBorder="1" applyAlignment="1">
      <alignment horizontal="center"/>
      <protection/>
    </xf>
    <xf numFmtId="0" fontId="9" fillId="20" borderId="0" xfId="114" applyNumberFormat="1" applyFont="1" applyFill="1" applyBorder="1" applyAlignment="1">
      <alignment horizontal="left"/>
      <protection/>
    </xf>
    <xf numFmtId="0" fontId="8" fillId="20" borderId="0" xfId="114" applyFont="1" applyFill="1" applyBorder="1" applyAlignment="1">
      <alignment/>
      <protection/>
    </xf>
    <xf numFmtId="0" fontId="0" fillId="20" borderId="0" xfId="114" applyNumberFormat="1" applyFont="1" applyFill="1" applyBorder="1" applyAlignment="1">
      <alignment horizontal="left"/>
      <protection/>
    </xf>
    <xf numFmtId="0" fontId="0" fillId="20" borderId="0" xfId="114" applyFont="1" applyFill="1" applyBorder="1">
      <alignment/>
      <protection/>
    </xf>
    <xf numFmtId="173" fontId="0" fillId="20" borderId="0" xfId="76" applyNumberFormat="1" applyFont="1" applyFill="1" applyBorder="1" applyAlignment="1">
      <alignment horizontal="right"/>
    </xf>
    <xf numFmtId="0" fontId="0" fillId="20" borderId="0" xfId="0" applyFill="1" applyBorder="1" applyAlignment="1">
      <alignment/>
    </xf>
    <xf numFmtId="164" fontId="0" fillId="20" borderId="0" xfId="137" applyNumberFormat="1" applyFont="1" applyFill="1" applyBorder="1" applyAlignment="1">
      <alignment/>
    </xf>
    <xf numFmtId="173" fontId="0" fillId="20" borderId="0" xfId="76" applyNumberFormat="1" applyFont="1" applyFill="1" applyBorder="1" applyAlignment="1">
      <alignment horizontal="left"/>
    </xf>
    <xf numFmtId="38" fontId="0" fillId="0" borderId="0" xfId="0" applyNumberFormat="1" applyAlignment="1">
      <alignment/>
    </xf>
    <xf numFmtId="0" fontId="12" fillId="0" borderId="0" xfId="0" applyFont="1" applyBorder="1" applyAlignment="1">
      <alignment/>
    </xf>
    <xf numFmtId="0" fontId="16" fillId="0" borderId="0" xfId="114" applyFont="1" applyFill="1" applyBorder="1" applyAlignment="1">
      <alignment horizontal="center"/>
      <protection/>
    </xf>
    <xf numFmtId="0" fontId="12" fillId="0" borderId="0" xfId="114" applyNumberFormat="1" applyFont="1" applyFill="1" applyBorder="1" applyAlignment="1">
      <alignment horizontal="left"/>
      <protection/>
    </xf>
    <xf numFmtId="173" fontId="12" fillId="0" borderId="0" xfId="76" applyNumberFormat="1" applyFont="1" applyFill="1" applyBorder="1" applyAlignment="1">
      <alignment horizontal="right"/>
    </xf>
    <xf numFmtId="0" fontId="13" fillId="0" borderId="0" xfId="124" applyFont="1" applyFill="1">
      <alignment/>
      <protection/>
    </xf>
    <xf numFmtId="0" fontId="77" fillId="0" borderId="0" xfId="124" applyFont="1" applyFill="1">
      <alignment/>
      <protection/>
    </xf>
    <xf numFmtId="9" fontId="10" fillId="0" borderId="0" xfId="124" applyNumberFormat="1" applyFont="1" applyFill="1" applyAlignment="1" quotePrefix="1">
      <alignment horizontal="center"/>
      <protection/>
    </xf>
    <xf numFmtId="0" fontId="2" fillId="0" borderId="0" xfId="128" applyNumberFormat="1" applyFont="1" applyAlignment="1">
      <alignment horizontal="center"/>
      <protection/>
    </xf>
    <xf numFmtId="0" fontId="2" fillId="0" borderId="0" xfId="128" applyNumberFormat="1" applyFont="1">
      <alignment/>
      <protection/>
    </xf>
    <xf numFmtId="186" fontId="2" fillId="0" borderId="0" xfId="128" applyNumberFormat="1" applyFont="1" applyAlignment="1">
      <alignment horizontal="center"/>
      <protection/>
    </xf>
    <xf numFmtId="0" fontId="2" fillId="0" borderId="11" xfId="128" applyNumberFormat="1" applyFont="1" applyBorder="1" applyAlignment="1">
      <alignment horizontal="center"/>
      <protection/>
    </xf>
    <xf numFmtId="186" fontId="2" fillId="0" borderId="11" xfId="128" applyNumberFormat="1" applyFont="1" applyBorder="1" applyAlignment="1">
      <alignment horizontal="center"/>
      <protection/>
    </xf>
    <xf numFmtId="3" fontId="3" fillId="0" borderId="0" xfId="127" applyNumberFormat="1" applyFont="1" applyFill="1" applyAlignment="1" applyProtection="1">
      <alignment horizontal="right"/>
      <protection locked="0"/>
    </xf>
    <xf numFmtId="173" fontId="0" fillId="0" borderId="0" xfId="73" applyNumberFormat="1" applyFont="1" applyFill="1" applyAlignment="1">
      <alignment/>
    </xf>
    <xf numFmtId="174" fontId="0" fillId="0" borderId="0" xfId="85"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0" fontId="82" fillId="0" borderId="0" xfId="0" applyFont="1" applyBorder="1" applyAlignment="1">
      <alignment horizontal="center"/>
    </xf>
    <xf numFmtId="0" fontId="81" fillId="0" borderId="0" xfId="124" applyFont="1" applyFill="1" applyAlignment="1">
      <alignment horizontal="center"/>
      <protection/>
    </xf>
    <xf numFmtId="43" fontId="3" fillId="0" borderId="0" xfId="135" applyNumberFormat="1" applyFont="1" applyFill="1" applyAlignment="1" applyProtection="1">
      <alignment/>
      <protection locked="0"/>
    </xf>
    <xf numFmtId="164" fontId="0" fillId="0" borderId="0" xfId="135" applyNumberFormat="1" applyFont="1" applyAlignment="1">
      <alignment/>
    </xf>
    <xf numFmtId="173" fontId="83" fillId="0" borderId="0" xfId="128" applyNumberFormat="1" applyFont="1" applyFill="1" applyBorder="1">
      <alignment/>
      <protection/>
    </xf>
    <xf numFmtId="0" fontId="21" fillId="0" borderId="0" xfId="124" applyFont="1" applyFill="1" applyAlignment="1">
      <alignment horizontal="center"/>
      <protection/>
    </xf>
    <xf numFmtId="37" fontId="0" fillId="0" borderId="15" xfId="0" applyNumberFormat="1" applyFont="1" applyFill="1" applyBorder="1" applyAlignment="1">
      <alignment/>
    </xf>
    <xf numFmtId="37" fontId="0" fillId="0" borderId="0" xfId="114" applyNumberFormat="1" applyFont="1" applyFill="1" applyBorder="1" applyAlignment="1">
      <alignment horizontal="right"/>
      <protection/>
    </xf>
    <xf numFmtId="37" fontId="8" fillId="0" borderId="0" xfId="114" applyNumberFormat="1" applyFont="1" applyFill="1" applyBorder="1" applyAlignment="1">
      <alignment/>
      <protection/>
    </xf>
    <xf numFmtId="0" fontId="86" fillId="0" borderId="0" xfId="124" applyFont="1" applyFill="1" applyBorder="1">
      <alignment/>
      <protection/>
    </xf>
    <xf numFmtId="0" fontId="4" fillId="0" borderId="0" xfId="124" applyFont="1" applyFill="1" applyBorder="1">
      <alignment/>
      <protection/>
    </xf>
    <xf numFmtId="0" fontId="0" fillId="0" borderId="0" xfId="0" applyFont="1" applyAlignment="1">
      <alignment/>
    </xf>
    <xf numFmtId="173" fontId="0" fillId="0" borderId="14" xfId="0" applyNumberFormat="1" applyBorder="1" applyAlignment="1">
      <alignment/>
    </xf>
    <xf numFmtId="9" fontId="0" fillId="0" borderId="0" xfId="135" applyFont="1" applyAlignment="1">
      <alignment/>
    </xf>
    <xf numFmtId="0" fontId="9" fillId="0" borderId="0" xfId="0" applyFont="1" applyAlignment="1">
      <alignment horizontal="center" wrapText="1"/>
    </xf>
    <xf numFmtId="0" fontId="17" fillId="0" borderId="0" xfId="125" applyFont="1" applyFill="1" applyAlignment="1">
      <alignment horizontal="center"/>
      <protection/>
    </xf>
    <xf numFmtId="0" fontId="0" fillId="0" borderId="0" xfId="124" applyFont="1" applyFill="1" applyAlignment="1">
      <alignment horizontal="left"/>
      <protection/>
    </xf>
    <xf numFmtId="0" fontId="0" fillId="0" borderId="0" xfId="124" applyFont="1" applyFill="1">
      <alignment/>
      <protection/>
    </xf>
    <xf numFmtId="0" fontId="89" fillId="0" borderId="0" xfId="124" applyFont="1" applyFill="1" applyAlignment="1">
      <alignment horizontal="center"/>
      <protection/>
    </xf>
    <xf numFmtId="0" fontId="90" fillId="0" borderId="0" xfId="124" applyFont="1" applyFill="1" applyBorder="1">
      <alignment/>
      <protection/>
    </xf>
    <xf numFmtId="38" fontId="0" fillId="0" borderId="0" xfId="0" applyNumberFormat="1" applyBorder="1" applyAlignment="1">
      <alignment/>
    </xf>
    <xf numFmtId="0" fontId="0" fillId="0" borderId="0" xfId="0" applyFont="1" applyAlignment="1">
      <alignment/>
    </xf>
    <xf numFmtId="3" fontId="12" fillId="0" borderId="0" xfId="114" applyNumberFormat="1" applyFont="1" applyBorder="1" applyAlignment="1">
      <alignment horizontal="center"/>
      <protection/>
    </xf>
    <xf numFmtId="0" fontId="18" fillId="0" borderId="0" xfId="73" applyNumberFormat="1" applyFont="1" applyFill="1" applyAlignment="1">
      <alignment/>
    </xf>
    <xf numFmtId="0" fontId="3" fillId="0" borderId="0" xfId="114" applyFont="1" applyBorder="1" applyAlignment="1">
      <alignment/>
      <protection/>
    </xf>
    <xf numFmtId="0" fontId="9" fillId="0" borderId="0" xfId="0" applyFont="1" applyAlignment="1">
      <alignment/>
    </xf>
    <xf numFmtId="16" fontId="0" fillId="0" borderId="0" xfId="0" applyNumberFormat="1" applyAlignment="1" quotePrefix="1">
      <alignment horizontal="center"/>
    </xf>
    <xf numFmtId="0" fontId="4" fillId="0" borderId="0" xfId="124" applyFont="1" applyFill="1" applyBorder="1" applyAlignment="1">
      <alignment horizontal="center"/>
      <protection/>
    </xf>
    <xf numFmtId="0" fontId="3" fillId="0" borderId="0" xfId="0" applyFont="1" applyBorder="1" applyAlignment="1">
      <alignment horizontal="center"/>
    </xf>
    <xf numFmtId="0" fontId="2" fillId="0" borderId="0" xfId="128" applyNumberFormat="1" applyFont="1" applyBorder="1" applyAlignment="1">
      <alignment horizontal="center"/>
      <protection/>
    </xf>
    <xf numFmtId="0" fontId="0" fillId="0" borderId="0" xfId="128" applyFont="1" applyBorder="1">
      <alignment/>
      <protection/>
    </xf>
    <xf numFmtId="0" fontId="2" fillId="0" borderId="11" xfId="128" applyNumberFormat="1" applyFont="1" applyBorder="1">
      <alignment/>
      <protection/>
    </xf>
    <xf numFmtId="186" fontId="2" fillId="0" borderId="0" xfId="128" applyNumberFormat="1" applyFont="1" applyBorder="1" applyAlignment="1">
      <alignment horizontal="center"/>
      <protection/>
    </xf>
    <xf numFmtId="0" fontId="0" fillId="0" borderId="0" xfId="128" applyFont="1" applyFill="1">
      <alignment/>
      <protection/>
    </xf>
    <xf numFmtId="173" fontId="72" fillId="0" borderId="0" xfId="128" applyNumberFormat="1" applyFont="1" applyFill="1" applyBorder="1">
      <alignment/>
      <protection/>
    </xf>
    <xf numFmtId="0" fontId="0" fillId="0" borderId="0" xfId="0" applyFill="1" applyBorder="1" applyAlignment="1">
      <alignment horizontal="center"/>
    </xf>
    <xf numFmtId="0" fontId="17" fillId="0" borderId="0" xfId="128" applyFont="1" applyFill="1">
      <alignment/>
      <protection/>
    </xf>
    <xf numFmtId="3" fontId="72" fillId="0" borderId="0" xfId="128" applyNumberFormat="1" applyFont="1" applyFill="1" applyBorder="1">
      <alignment/>
      <protection/>
    </xf>
    <xf numFmtId="173" fontId="72" fillId="0" borderId="0" xfId="128" applyNumberFormat="1" applyFont="1" applyFill="1">
      <alignment/>
      <protection/>
    </xf>
    <xf numFmtId="173" fontId="66" fillId="0" borderId="0" xfId="128" applyNumberFormat="1" applyFont="1" applyFill="1" applyBorder="1">
      <alignment/>
      <protection/>
    </xf>
    <xf numFmtId="0" fontId="66" fillId="0" borderId="0" xfId="128" applyFont="1" applyFill="1" applyBorder="1">
      <alignment/>
      <protection/>
    </xf>
    <xf numFmtId="38" fontId="20" fillId="0" borderId="0" xfId="0" applyNumberFormat="1" applyFont="1" applyBorder="1" applyAlignment="1">
      <alignment/>
    </xf>
    <xf numFmtId="0" fontId="0" fillId="0" borderId="0" xfId="114" applyFont="1">
      <alignment/>
      <protection/>
    </xf>
    <xf numFmtId="3" fontId="4" fillId="0" borderId="0" xfId="114" applyNumberFormat="1" applyFont="1" applyAlignment="1">
      <alignment horizontal="center"/>
      <protection/>
    </xf>
    <xf numFmtId="0" fontId="9" fillId="0" borderId="0" xfId="114" applyFont="1">
      <alignment/>
      <protection/>
    </xf>
    <xf numFmtId="0" fontId="4" fillId="0" borderId="0" xfId="114" applyFont="1" applyAlignment="1">
      <alignment horizontal="center"/>
      <protection/>
    </xf>
    <xf numFmtId="0" fontId="3" fillId="0" borderId="0" xfId="113" applyFont="1" applyFill="1">
      <alignment/>
      <protection/>
    </xf>
    <xf numFmtId="0" fontId="4" fillId="0" borderId="0" xfId="114" applyFont="1" applyFill="1" applyBorder="1" applyAlignment="1">
      <alignment horizontal="center"/>
      <protection/>
    </xf>
    <xf numFmtId="0" fontId="3" fillId="0" borderId="0" xfId="114" applyFont="1">
      <alignment/>
      <protection/>
    </xf>
    <xf numFmtId="0" fontId="10" fillId="0" borderId="0" xfId="114" applyFont="1" applyBorder="1" applyAlignment="1">
      <alignment horizontal="left"/>
      <protection/>
    </xf>
    <xf numFmtId="0" fontId="3" fillId="0" borderId="0" xfId="114" applyFont="1" applyBorder="1">
      <alignment/>
      <protection/>
    </xf>
    <xf numFmtId="0" fontId="10" fillId="0" borderId="0" xfId="114" applyFont="1" applyFill="1" applyBorder="1">
      <alignment/>
      <protection/>
    </xf>
    <xf numFmtId="3" fontId="3" fillId="0" borderId="0" xfId="114" applyNumberFormat="1" applyFont="1" applyFill="1" applyBorder="1" applyAlignment="1">
      <alignment/>
      <protection/>
    </xf>
    <xf numFmtId="1" fontId="18" fillId="0" borderId="0" xfId="114" applyNumberFormat="1" applyFont="1" applyFill="1" applyBorder="1" applyAlignment="1">
      <alignment horizontal="center"/>
      <protection/>
    </xf>
    <xf numFmtId="172" fontId="3" fillId="0" borderId="0" xfId="126" applyFont="1" applyBorder="1" applyAlignment="1">
      <alignment/>
    </xf>
    <xf numFmtId="170" fontId="3" fillId="0" borderId="0" xfId="126" applyNumberFormat="1" applyFont="1" applyFill="1" applyBorder="1" applyAlignment="1">
      <alignment horizontal="right"/>
    </xf>
    <xf numFmtId="170" fontId="3" fillId="0" borderId="0" xfId="126" applyNumberFormat="1" applyFont="1" applyBorder="1" applyAlignment="1">
      <alignment horizontal="right"/>
    </xf>
    <xf numFmtId="172" fontId="99" fillId="0" borderId="0" xfId="126" applyFont="1" applyBorder="1" applyAlignment="1">
      <alignment/>
    </xf>
    <xf numFmtId="171" fontId="3" fillId="0" borderId="0" xfId="126" applyNumberFormat="1" applyFont="1" applyFill="1" applyBorder="1" applyAlignment="1">
      <alignment/>
    </xf>
    <xf numFmtId="170" fontId="3" fillId="0" borderId="0" xfId="126" applyNumberFormat="1" applyFont="1" applyBorder="1" applyAlignment="1">
      <alignment/>
    </xf>
    <xf numFmtId="0" fontId="3" fillId="0" borderId="0" xfId="0" applyFont="1" applyBorder="1" applyAlignment="1">
      <alignment/>
    </xf>
    <xf numFmtId="172" fontId="3" fillId="0" borderId="0" xfId="126" applyFont="1" applyFill="1" applyBorder="1" applyAlignment="1">
      <alignment/>
    </xf>
    <xf numFmtId="0" fontId="3" fillId="0" borderId="6" xfId="114" applyFont="1" applyBorder="1" applyAlignment="1">
      <alignment horizontal="center"/>
      <protection/>
    </xf>
    <xf numFmtId="0" fontId="3" fillId="0" borderId="6" xfId="0" applyFont="1" applyBorder="1" applyAlignment="1">
      <alignment/>
    </xf>
    <xf numFmtId="172" fontId="3" fillId="0" borderId="6" xfId="126" applyFont="1" applyBorder="1" applyAlignment="1">
      <alignment/>
    </xf>
    <xf numFmtId="170" fontId="3" fillId="0" borderId="0" xfId="0" applyNumberFormat="1" applyFont="1" applyBorder="1" applyAlignment="1">
      <alignment/>
    </xf>
    <xf numFmtId="170" fontId="3" fillId="0" borderId="0" xfId="114" applyNumberFormat="1" applyFont="1" applyBorder="1">
      <alignment/>
      <protection/>
    </xf>
    <xf numFmtId="0" fontId="15" fillId="0" borderId="0" xfId="114" applyFont="1">
      <alignment/>
      <protection/>
    </xf>
    <xf numFmtId="0" fontId="3" fillId="0" borderId="0" xfId="0" applyFont="1" applyAlignment="1">
      <alignment horizontal="center" wrapText="1"/>
    </xf>
    <xf numFmtId="49" fontId="3" fillId="0" borderId="0" xfId="73" applyNumberFormat="1" applyFont="1" applyAlignment="1">
      <alignment horizontal="center"/>
    </xf>
    <xf numFmtId="0" fontId="92" fillId="0" borderId="0" xfId="128" applyFont="1" applyFill="1" applyBorder="1">
      <alignment/>
      <protection/>
    </xf>
    <xf numFmtId="0" fontId="110" fillId="0" borderId="0" xfId="128" applyFont="1">
      <alignment/>
      <protection/>
    </xf>
    <xf numFmtId="6" fontId="0" fillId="0" borderId="0" xfId="114" applyNumberFormat="1" applyFont="1">
      <alignment/>
      <protection/>
    </xf>
    <xf numFmtId="0" fontId="3" fillId="0" borderId="0" xfId="124" applyFont="1" applyFill="1" applyAlignment="1">
      <alignment horizontal="center"/>
      <protection/>
    </xf>
    <xf numFmtId="0" fontId="0" fillId="0" borderId="0" xfId="124" applyFont="1" applyFill="1" applyBorder="1">
      <alignment/>
      <protection/>
    </xf>
    <xf numFmtId="0" fontId="9" fillId="0" borderId="0" xfId="0" applyFont="1" applyAlignment="1">
      <alignment horizontal="center"/>
    </xf>
    <xf numFmtId="41" fontId="18" fillId="25" borderId="6" xfId="127" applyNumberFormat="1" applyFont="1" applyFill="1" applyBorder="1" applyAlignment="1" applyProtection="1">
      <alignment/>
      <protection locked="0"/>
    </xf>
    <xf numFmtId="3" fontId="18" fillId="25" borderId="0" xfId="127" applyNumberFormat="1" applyFont="1" applyFill="1" applyAlignment="1" applyProtection="1">
      <alignment/>
      <protection locked="0"/>
    </xf>
    <xf numFmtId="41" fontId="3" fillId="25" borderId="0" xfId="127" applyNumberFormat="1" applyFont="1" applyFill="1" applyAlignment="1" applyProtection="1">
      <alignment/>
      <protection locked="0"/>
    </xf>
    <xf numFmtId="173" fontId="18" fillId="25" borderId="0" xfId="73" applyNumberFormat="1" applyFont="1" applyFill="1" applyAlignment="1" applyProtection="1">
      <alignment horizontal="right"/>
      <protection locked="0"/>
    </xf>
    <xf numFmtId="41" fontId="18" fillId="25" borderId="0" xfId="127" applyNumberFormat="1" applyFont="1" applyFill="1" applyAlignment="1" applyProtection="1">
      <alignment/>
      <protection locked="0"/>
    </xf>
    <xf numFmtId="0" fontId="125" fillId="0" borderId="0" xfId="114" applyFont="1" applyBorder="1">
      <alignment/>
      <protection/>
    </xf>
    <xf numFmtId="173" fontId="8" fillId="25" borderId="0" xfId="73" applyNumberFormat="1" applyFont="1" applyFill="1" applyAlignment="1" applyProtection="1">
      <alignment/>
      <protection locked="0"/>
    </xf>
    <xf numFmtId="41" fontId="8" fillId="25" borderId="0" xfId="127" applyNumberFormat="1" applyFont="1" applyFill="1" applyAlignment="1" applyProtection="1">
      <alignment/>
      <protection locked="0"/>
    </xf>
    <xf numFmtId="41" fontId="8" fillId="25" borderId="6" xfId="127" applyNumberFormat="1" applyFont="1" applyFill="1" applyBorder="1" applyAlignment="1" applyProtection="1">
      <alignment/>
      <protection locked="0"/>
    </xf>
    <xf numFmtId="173" fontId="8" fillId="25" borderId="6" xfId="73" applyNumberFormat="1" applyFont="1" applyFill="1" applyBorder="1" applyAlignment="1" applyProtection="1">
      <alignment/>
      <protection locked="0"/>
    </xf>
    <xf numFmtId="173" fontId="8" fillId="25" borderId="11" xfId="73" applyNumberFormat="1" applyFont="1" applyFill="1" applyBorder="1" applyAlignment="1" applyProtection="1">
      <alignment/>
      <protection locked="0"/>
    </xf>
    <xf numFmtId="10" fontId="18" fillId="25" borderId="0" xfId="127" applyNumberFormat="1" applyFont="1" applyFill="1" applyProtection="1">
      <alignment/>
      <protection locked="0"/>
    </xf>
    <xf numFmtId="41" fontId="18" fillId="25" borderId="0" xfId="127" applyNumberFormat="1" applyFont="1" applyFill="1" applyAlignment="1" applyProtection="1">
      <alignment vertical="center"/>
      <protection locked="0"/>
    </xf>
    <xf numFmtId="0" fontId="18" fillId="26" borderId="0" xfId="73" applyNumberFormat="1" applyFont="1" applyFill="1" applyAlignment="1">
      <alignment/>
    </xf>
    <xf numFmtId="0" fontId="4" fillId="0" borderId="0" xfId="0" applyFont="1" applyAlignment="1">
      <alignment/>
    </xf>
    <xf numFmtId="10" fontId="18" fillId="27" borderId="0" xfId="135" applyNumberFormat="1" applyFont="1" applyFill="1" applyAlignment="1" applyProtection="1">
      <alignment/>
      <protection locked="0"/>
    </xf>
    <xf numFmtId="176" fontId="1" fillId="0" borderId="16" xfId="130" applyNumberFormat="1" applyBorder="1" applyProtection="1">
      <alignment/>
      <protection/>
    </xf>
    <xf numFmtId="176" fontId="1" fillId="0" borderId="0" xfId="130" applyNumberFormat="1" applyBorder="1" applyProtection="1">
      <alignment/>
      <protection/>
    </xf>
    <xf numFmtId="201" fontId="1" fillId="0" borderId="0" xfId="130" applyNumberFormat="1" applyProtection="1">
      <alignment/>
      <protection/>
    </xf>
    <xf numFmtId="10" fontId="1" fillId="0" borderId="0" xfId="130" applyNumberFormat="1" applyProtection="1">
      <alignment/>
      <protection/>
    </xf>
    <xf numFmtId="172" fontId="3" fillId="0" borderId="0" xfId="127" applyFont="1" applyAlignment="1" applyProtection="1">
      <alignment/>
      <protection/>
    </xf>
    <xf numFmtId="41" fontId="3" fillId="0" borderId="14" xfId="127" applyNumberFormat="1" applyFont="1" applyBorder="1" applyAlignment="1" applyProtection="1">
      <alignment horizontal="center"/>
      <protection/>
    </xf>
    <xf numFmtId="0" fontId="1" fillId="0" borderId="0" xfId="127" applyNumberFormat="1" applyFont="1" applyAlignment="1" applyProtection="1">
      <alignment horizontal="center"/>
      <protection/>
    </xf>
    <xf numFmtId="0" fontId="3" fillId="0" borderId="0" xfId="0" applyNumberFormat="1" applyFont="1" applyAlignment="1" applyProtection="1">
      <alignment/>
      <protection/>
    </xf>
    <xf numFmtId="0" fontId="3" fillId="0" borderId="0" xfId="127" applyNumberFormat="1" applyFont="1" applyFill="1" applyProtection="1">
      <alignment/>
      <protection/>
    </xf>
    <xf numFmtId="0" fontId="3" fillId="0" borderId="0" xfId="127" applyNumberFormat="1" applyFont="1" applyProtection="1">
      <alignment/>
      <protection/>
    </xf>
    <xf numFmtId="0" fontId="3" fillId="0" borderId="0" xfId="127" applyNumberFormat="1" applyFont="1" applyAlignment="1" applyProtection="1">
      <alignment horizontal="left"/>
      <protection/>
    </xf>
    <xf numFmtId="172" fontId="71" fillId="0" borderId="0" xfId="127" applyFont="1" applyAlignment="1" applyProtection="1">
      <alignment horizontal="center" wrapText="1"/>
      <protection/>
    </xf>
    <xf numFmtId="0" fontId="3" fillId="0" borderId="0" xfId="127" applyNumberFormat="1" applyFont="1" applyFill="1" applyAlignment="1" applyProtection="1">
      <alignment horizontal="center"/>
      <protection/>
    </xf>
    <xf numFmtId="0" fontId="3" fillId="0" borderId="0" xfId="0" applyNumberFormat="1" applyFont="1" applyFill="1" applyAlignment="1" applyProtection="1">
      <alignment/>
      <protection/>
    </xf>
    <xf numFmtId="3" fontId="3" fillId="0" borderId="0" xfId="127" applyNumberFormat="1" applyFont="1" applyFill="1" applyAlignment="1" applyProtection="1">
      <alignment horizontal="left"/>
      <protection/>
    </xf>
    <xf numFmtId="3" fontId="3" fillId="0" borderId="0" xfId="127" applyNumberFormat="1" applyFont="1" applyFill="1" applyAlignment="1" applyProtection="1">
      <alignment/>
      <protection/>
    </xf>
    <xf numFmtId="3" fontId="3" fillId="0" borderId="0" xfId="127" applyNumberFormat="1" applyFont="1" applyFill="1" applyAlignment="1" applyProtection="1">
      <alignment horizontal="center"/>
      <protection/>
    </xf>
    <xf numFmtId="165" fontId="3" fillId="0" borderId="0" xfId="127" applyNumberFormat="1" applyFont="1" applyFill="1" applyAlignment="1" applyProtection="1">
      <alignment horizontal="right"/>
      <protection/>
    </xf>
    <xf numFmtId="3" fontId="3" fillId="0" borderId="0" xfId="127" applyNumberFormat="1" applyFont="1" applyAlignment="1" applyProtection="1">
      <alignment horizontal="left"/>
      <protection/>
    </xf>
    <xf numFmtId="41" fontId="3" fillId="0" borderId="0" xfId="127" applyNumberFormat="1" applyFont="1" applyFill="1" applyAlignment="1" applyProtection="1">
      <alignment/>
      <protection/>
    </xf>
    <xf numFmtId="0" fontId="1" fillId="0" borderId="0" xfId="127" applyNumberFormat="1" applyFont="1" applyFill="1" applyAlignment="1" applyProtection="1">
      <alignment horizontal="center"/>
      <protection/>
    </xf>
    <xf numFmtId="43" fontId="3" fillId="0" borderId="0" xfId="73" applyFont="1" applyAlignment="1" applyProtection="1">
      <alignment/>
      <protection/>
    </xf>
    <xf numFmtId="0" fontId="3" fillId="0" borderId="0" xfId="127" applyNumberFormat="1" applyFont="1" applyFill="1" applyAlignment="1" applyProtection="1">
      <alignment/>
      <protection/>
    </xf>
    <xf numFmtId="0" fontId="3" fillId="0" borderId="0" xfId="127" applyNumberFormat="1" applyFont="1" applyAlignment="1" applyProtection="1">
      <alignment horizontal="center"/>
      <protection/>
    </xf>
    <xf numFmtId="171" fontId="3" fillId="0" borderId="0" xfId="127" applyNumberFormat="1" applyFont="1" applyProtection="1">
      <alignment/>
      <protection/>
    </xf>
    <xf numFmtId="0" fontId="0" fillId="0" borderId="0" xfId="0" applyFont="1" applyAlignment="1" applyProtection="1">
      <alignment/>
      <protection/>
    </xf>
    <xf numFmtId="0" fontId="3" fillId="0" borderId="0" xfId="127" applyNumberFormat="1" applyFont="1" applyAlignment="1" applyProtection="1">
      <alignment/>
      <protection/>
    </xf>
    <xf numFmtId="0" fontId="3" fillId="0" borderId="0" xfId="0" applyNumberFormat="1" applyFont="1" applyFill="1" applyAlignment="1" applyProtection="1">
      <alignment/>
      <protection/>
    </xf>
    <xf numFmtId="172" fontId="1" fillId="0" borderId="0" xfId="127" applyFont="1" applyAlignment="1" applyProtection="1">
      <alignment/>
      <protection/>
    </xf>
    <xf numFmtId="0" fontId="0" fillId="0" borderId="0" xfId="0" applyBorder="1" applyAlignment="1" applyProtection="1">
      <alignment/>
      <protection/>
    </xf>
    <xf numFmtId="0" fontId="4" fillId="0" borderId="0" xfId="127" applyNumberFormat="1" applyFont="1" applyBorder="1" applyAlignment="1" applyProtection="1">
      <alignment horizontal="left"/>
      <protection/>
    </xf>
    <xf numFmtId="14" fontId="4" fillId="0" borderId="0" xfId="127" applyNumberFormat="1" applyFont="1" applyBorder="1" applyAlignment="1" applyProtection="1">
      <alignment/>
      <protection/>
    </xf>
    <xf numFmtId="172" fontId="4" fillId="0" borderId="0" xfId="127" applyFont="1" applyFill="1" applyAlignment="1" applyProtection="1">
      <alignment/>
      <protection/>
    </xf>
    <xf numFmtId="0" fontId="3" fillId="0" borderId="0" xfId="0" applyNumberFormat="1" applyFont="1" applyAlignment="1" applyProtection="1">
      <alignment horizontal="center"/>
      <protection/>
    </xf>
    <xf numFmtId="0" fontId="3" fillId="0" borderId="0" xfId="0" applyFont="1" applyAlignment="1" applyProtection="1">
      <alignment/>
      <protection/>
    </xf>
    <xf numFmtId="3" fontId="3" fillId="0" borderId="0" xfId="127" applyNumberFormat="1" applyFont="1" applyAlignment="1" applyProtection="1">
      <alignment/>
      <protection/>
    </xf>
    <xf numFmtId="3" fontId="3" fillId="0" borderId="0" xfId="0" applyNumberFormat="1" applyFont="1" applyAlignment="1" applyProtection="1">
      <alignment horizontal="center"/>
      <protection/>
    </xf>
    <xf numFmtId="49" fontId="3" fillId="0" borderId="0" xfId="127" applyNumberFormat="1" applyFont="1" applyAlignment="1" applyProtection="1">
      <alignment horizontal="center"/>
      <protection/>
    </xf>
    <xf numFmtId="0" fontId="0" fillId="0" borderId="0" xfId="0" applyAlignment="1" applyProtection="1">
      <alignment/>
      <protection/>
    </xf>
    <xf numFmtId="3" fontId="19" fillId="0" borderId="0" xfId="0" applyNumberFormat="1" applyFont="1" applyAlignment="1" applyProtection="1">
      <alignment horizontal="center"/>
      <protection/>
    </xf>
    <xf numFmtId="49" fontId="3" fillId="0" borderId="0" xfId="127" applyNumberFormat="1" applyFont="1" applyProtection="1">
      <alignment/>
      <protection/>
    </xf>
    <xf numFmtId="39" fontId="3" fillId="0" borderId="0" xfId="73" applyNumberFormat="1" applyFont="1" applyAlignment="1" applyProtection="1">
      <alignment horizontal="center"/>
      <protection/>
    </xf>
    <xf numFmtId="0" fontId="1" fillId="0" borderId="6" xfId="127" applyNumberFormat="1" applyFont="1" applyBorder="1" applyAlignment="1" applyProtection="1">
      <alignment horizontal="center"/>
      <protection/>
    </xf>
    <xf numFmtId="0" fontId="3" fillId="0" borderId="0" xfId="127" applyNumberFormat="1" applyFont="1" applyBorder="1" applyAlignment="1" applyProtection="1">
      <alignment horizontal="center"/>
      <protection/>
    </xf>
    <xf numFmtId="3" fontId="3" fillId="0" borderId="0" xfId="127" applyNumberFormat="1" applyFont="1" applyProtection="1">
      <alignment/>
      <protection/>
    </xf>
    <xf numFmtId="0" fontId="3" fillId="0" borderId="6" xfId="127" applyNumberFormat="1" applyFont="1" applyBorder="1" applyAlignment="1" applyProtection="1">
      <alignment horizontal="center"/>
      <protection/>
    </xf>
    <xf numFmtId="0" fontId="3" fillId="0" borderId="6" xfId="127" applyNumberFormat="1" applyFont="1" applyBorder="1" applyAlignment="1" applyProtection="1">
      <alignment horizontal="centerContinuous"/>
      <protection/>
    </xf>
    <xf numFmtId="0" fontId="3" fillId="0" borderId="0" xfId="0" applyNumberFormat="1" applyFont="1" applyAlignment="1" applyProtection="1">
      <alignment/>
      <protection/>
    </xf>
    <xf numFmtId="41" fontId="3" fillId="0" borderId="0" xfId="127" applyNumberFormat="1" applyFont="1" applyFill="1" applyBorder="1" applyAlignment="1" applyProtection="1">
      <alignment/>
      <protection/>
    </xf>
    <xf numFmtId="0" fontId="3" fillId="0" borderId="0" xfId="0" applyNumberFormat="1" applyFont="1" applyAlignment="1" applyProtection="1">
      <alignment wrapText="1"/>
      <protection/>
    </xf>
    <xf numFmtId="3" fontId="3" fillId="0" borderId="0" xfId="127" applyNumberFormat="1" applyFont="1" applyAlignment="1" applyProtection="1">
      <alignment horizontal="center"/>
      <protection/>
    </xf>
    <xf numFmtId="170" fontId="3" fillId="0" borderId="0" xfId="127" applyNumberFormat="1" applyFont="1" applyProtection="1">
      <alignment/>
      <protection/>
    </xf>
    <xf numFmtId="42" fontId="3" fillId="0" borderId="0" xfId="127" applyNumberFormat="1" applyFont="1" applyBorder="1" applyAlignment="1" applyProtection="1">
      <alignment/>
      <protection/>
    </xf>
    <xf numFmtId="0" fontId="18" fillId="26" borderId="0" xfId="73" applyNumberFormat="1" applyFont="1" applyFill="1" applyAlignment="1" applyProtection="1">
      <alignment/>
      <protection/>
    </xf>
    <xf numFmtId="174" fontId="3" fillId="0" borderId="14" xfId="127" applyNumberFormat="1" applyFont="1" applyBorder="1" applyAlignment="1" applyProtection="1">
      <alignment/>
      <protection/>
    </xf>
    <xf numFmtId="42" fontId="3" fillId="0" borderId="0" xfId="127" applyNumberFormat="1" applyFont="1" applyAlignment="1" applyProtection="1">
      <alignment/>
      <protection/>
    </xf>
    <xf numFmtId="42" fontId="3" fillId="0" borderId="0" xfId="127" applyNumberFormat="1" applyFont="1" applyFill="1" applyAlignment="1" applyProtection="1">
      <alignment/>
      <protection/>
    </xf>
    <xf numFmtId="10" fontId="3" fillId="0" borderId="0" xfId="127" applyNumberFormat="1" applyFont="1" applyAlignment="1" applyProtection="1">
      <alignment/>
      <protection/>
    </xf>
    <xf numFmtId="10" fontId="3" fillId="0" borderId="0" xfId="127" applyNumberFormat="1" applyFont="1" applyProtection="1">
      <alignment/>
      <protection/>
    </xf>
    <xf numFmtId="10" fontId="3" fillId="0" borderId="0" xfId="135" applyNumberFormat="1" applyFont="1" applyFill="1" applyAlignment="1" applyProtection="1">
      <alignment/>
      <protection/>
    </xf>
    <xf numFmtId="173" fontId="18" fillId="0" borderId="0" xfId="73" applyNumberFormat="1" applyFont="1" applyFill="1" applyAlignment="1" applyProtection="1">
      <alignment horizontal="right"/>
      <protection/>
    </xf>
    <xf numFmtId="41" fontId="3" fillId="0" borderId="0" xfId="127" applyNumberFormat="1" applyFont="1" applyAlignment="1" applyProtection="1">
      <alignment horizontal="center"/>
      <protection/>
    </xf>
    <xf numFmtId="172" fontId="3" fillId="0" borderId="0" xfId="127" applyFont="1" applyFill="1" applyAlignment="1" applyProtection="1">
      <alignment/>
      <protection/>
    </xf>
    <xf numFmtId="0" fontId="0" fillId="0" borderId="0" xfId="0" applyFont="1" applyAlignment="1" applyProtection="1">
      <alignment horizontal="center"/>
      <protection/>
    </xf>
    <xf numFmtId="49" fontId="3" fillId="0" borderId="0" xfId="127" applyNumberFormat="1" applyFont="1" applyAlignment="1" applyProtection="1">
      <alignment horizontal="left"/>
      <protection/>
    </xf>
    <xf numFmtId="0" fontId="1" fillId="0" borderId="0" xfId="127" applyNumberFormat="1" applyFont="1" applyAlignment="1" applyProtection="1">
      <alignment horizontal="center" vertical="center"/>
      <protection/>
    </xf>
    <xf numFmtId="3" fontId="4" fillId="0" borderId="0" xfId="127" applyNumberFormat="1" applyFont="1" applyAlignment="1" applyProtection="1">
      <alignment horizontal="center"/>
      <protection/>
    </xf>
    <xf numFmtId="172" fontId="4" fillId="0" borderId="0" xfId="127" applyFont="1" applyAlignment="1" applyProtection="1">
      <alignment horizontal="center"/>
      <protection/>
    </xf>
    <xf numFmtId="49" fontId="4" fillId="0" borderId="0" xfId="127" applyNumberFormat="1" applyFont="1" applyAlignment="1" applyProtection="1">
      <alignment horizontal="center"/>
      <protection/>
    </xf>
    <xf numFmtId="0" fontId="10" fillId="0" borderId="0" xfId="127" applyNumberFormat="1" applyFont="1" applyAlignment="1" applyProtection="1">
      <alignment horizontal="center"/>
      <protection/>
    </xf>
    <xf numFmtId="172" fontId="10" fillId="0" borderId="0" xfId="127" applyFont="1" applyBorder="1" applyAlignment="1" applyProtection="1">
      <alignment horizontal="center"/>
      <protection/>
    </xf>
    <xf numFmtId="3" fontId="4" fillId="0" borderId="0" xfId="127" applyNumberFormat="1" applyFont="1" applyAlignment="1" applyProtection="1">
      <alignment/>
      <protection/>
    </xf>
    <xf numFmtId="0" fontId="1" fillId="0" borderId="0" xfId="127" applyNumberFormat="1" applyFont="1" applyBorder="1" applyAlignment="1" applyProtection="1">
      <alignment horizontal="center"/>
      <protection/>
    </xf>
    <xf numFmtId="3" fontId="13" fillId="0" borderId="0" xfId="127" applyNumberFormat="1" applyFont="1" applyAlignment="1" applyProtection="1">
      <alignment horizontal="center"/>
      <protection/>
    </xf>
    <xf numFmtId="3" fontId="3" fillId="0" borderId="0" xfId="127" applyNumberFormat="1" applyFont="1" applyFill="1" applyBorder="1" applyAlignment="1" applyProtection="1">
      <alignment horizontal="center"/>
      <protection/>
    </xf>
    <xf numFmtId="0" fontId="24" fillId="0" borderId="0" xfId="127" applyNumberFormat="1" applyFont="1" applyBorder="1" applyAlignment="1" applyProtection="1">
      <alignment/>
      <protection/>
    </xf>
    <xf numFmtId="0" fontId="3" fillId="0" borderId="0" xfId="127" applyNumberFormat="1" applyFont="1" applyAlignment="1" applyProtection="1">
      <alignment horizontal="center" vertical="center"/>
      <protection/>
    </xf>
    <xf numFmtId="0" fontId="3" fillId="0" borderId="0" xfId="127" applyNumberFormat="1" applyFont="1" applyBorder="1" applyAlignment="1" applyProtection="1">
      <alignment vertical="center"/>
      <protection/>
    </xf>
    <xf numFmtId="3" fontId="3" fillId="0" borderId="0" xfId="127" applyNumberFormat="1" applyFont="1" applyFill="1" applyAlignment="1" applyProtection="1">
      <alignment vertical="center" wrapText="1"/>
      <protection/>
    </xf>
    <xf numFmtId="3" fontId="3" fillId="0" borderId="0" xfId="127" applyNumberFormat="1" applyFont="1" applyFill="1" applyAlignment="1" applyProtection="1">
      <alignment horizontal="center" vertical="center"/>
      <protection/>
    </xf>
    <xf numFmtId="3" fontId="3" fillId="0" borderId="0" xfId="127" applyNumberFormat="1" applyFont="1" applyFill="1" applyAlignment="1" applyProtection="1">
      <alignment vertical="center"/>
      <protection/>
    </xf>
    <xf numFmtId="41" fontId="3" fillId="0" borderId="0" xfId="127" applyNumberFormat="1" applyFont="1" applyFill="1" applyAlignment="1" applyProtection="1">
      <alignment vertical="center"/>
      <protection/>
    </xf>
    <xf numFmtId="0" fontId="3" fillId="0" borderId="0" xfId="127" applyNumberFormat="1" applyFont="1" applyFill="1" applyBorder="1" applyAlignment="1" applyProtection="1">
      <alignment/>
      <protection/>
    </xf>
    <xf numFmtId="41" fontId="4" fillId="20" borderId="0" xfId="127" applyNumberFormat="1" applyFont="1" applyFill="1" applyAlignment="1" applyProtection="1">
      <alignment horizontal="center" vertical="center"/>
      <protection/>
    </xf>
    <xf numFmtId="0" fontId="3" fillId="0" borderId="0" xfId="127" applyNumberFormat="1" applyFont="1" applyBorder="1" applyAlignment="1" applyProtection="1">
      <alignment/>
      <protection/>
    </xf>
    <xf numFmtId="41" fontId="3" fillId="0" borderId="6" xfId="127" applyNumberFormat="1" applyFont="1" applyFill="1" applyBorder="1" applyAlignment="1" applyProtection="1">
      <alignment/>
      <protection/>
    </xf>
    <xf numFmtId="0" fontId="0" fillId="0" borderId="0" xfId="0" applyFont="1" applyAlignment="1" applyProtection="1">
      <alignment/>
      <protection/>
    </xf>
    <xf numFmtId="172" fontId="4" fillId="0" borderId="0" xfId="127" applyFont="1" applyFill="1" applyAlignment="1" applyProtection="1">
      <alignment horizontal="right"/>
      <protection/>
    </xf>
    <xf numFmtId="178" fontId="4" fillId="0" borderId="0" xfId="127" applyNumberFormat="1" applyFont="1" applyFill="1" applyAlignment="1" applyProtection="1">
      <alignment horizontal="right"/>
      <protection/>
    </xf>
    <xf numFmtId="166" fontId="4" fillId="0" borderId="0" xfId="127" applyNumberFormat="1" applyFont="1" applyFill="1" applyAlignment="1" applyProtection="1">
      <alignment horizontal="right"/>
      <protection/>
    </xf>
    <xf numFmtId="185" fontId="3" fillId="0" borderId="0" xfId="127" applyNumberFormat="1" applyFont="1" applyFill="1" applyAlignment="1" applyProtection="1">
      <alignment/>
      <protection/>
    </xf>
    <xf numFmtId="184" fontId="3" fillId="0" borderId="0" xfId="127" applyNumberFormat="1" applyFont="1" applyFill="1" applyAlignment="1" applyProtection="1">
      <alignment/>
      <protection/>
    </xf>
    <xf numFmtId="3" fontId="4" fillId="0" borderId="0" xfId="127" applyNumberFormat="1" applyFont="1" applyFill="1" applyAlignment="1" applyProtection="1">
      <alignment horizontal="right" vertical="center"/>
      <protection/>
    </xf>
    <xf numFmtId="165" fontId="3" fillId="0" borderId="0" xfId="127" applyNumberFormat="1" applyFont="1" applyFill="1" applyAlignment="1" applyProtection="1">
      <alignment/>
      <protection/>
    </xf>
    <xf numFmtId="0" fontId="3" fillId="0" borderId="0" xfId="127" applyNumberFormat="1" applyFont="1" applyFill="1" applyAlignment="1" applyProtection="1">
      <alignment horizontal="center" vertical="center"/>
      <protection/>
    </xf>
    <xf numFmtId="0" fontId="0" fillId="0" borderId="0" xfId="0" applyFont="1" applyAlignment="1" applyProtection="1">
      <alignment wrapText="1"/>
      <protection/>
    </xf>
    <xf numFmtId="0" fontId="0" fillId="0" borderId="0" xfId="0" applyFont="1" applyAlignment="1" applyProtection="1">
      <alignment horizontal="center" wrapText="1"/>
      <protection/>
    </xf>
    <xf numFmtId="164" fontId="3" fillId="0" borderId="0" xfId="127" applyNumberFormat="1" applyFont="1" applyFill="1" applyAlignment="1" applyProtection="1">
      <alignment horizontal="center"/>
      <protection/>
    </xf>
    <xf numFmtId="0" fontId="1" fillId="26" borderId="0" xfId="127" applyNumberFormat="1" applyFont="1" applyFill="1" applyAlignment="1" applyProtection="1">
      <alignment horizontal="center"/>
      <protection/>
    </xf>
    <xf numFmtId="41" fontId="3" fillId="0" borderId="0" xfId="127" applyNumberFormat="1" applyFont="1" applyAlignment="1" applyProtection="1">
      <alignment/>
      <protection/>
    </xf>
    <xf numFmtId="165" fontId="3" fillId="0" borderId="0" xfId="127" applyNumberFormat="1" applyFont="1" applyAlignment="1" applyProtection="1">
      <alignment/>
      <protection/>
    </xf>
    <xf numFmtId="3" fontId="4" fillId="0" borderId="0" xfId="127" applyNumberFormat="1" applyFont="1" applyFill="1" applyAlignment="1" applyProtection="1">
      <alignment horizontal="right"/>
      <protection/>
    </xf>
    <xf numFmtId="182" fontId="3" fillId="0" borderId="0" xfId="73" applyNumberFormat="1" applyFont="1" applyFill="1" applyAlignment="1" applyProtection="1">
      <alignment/>
      <protection/>
    </xf>
    <xf numFmtId="172" fontId="3" fillId="0" borderId="0" xfId="127" applyFont="1" applyBorder="1" applyAlignment="1" applyProtection="1">
      <alignment/>
      <protection/>
    </xf>
    <xf numFmtId="0" fontId="0" fillId="0" borderId="0" xfId="0" applyFont="1" applyFill="1" applyAlignment="1" applyProtection="1">
      <alignment/>
      <protection/>
    </xf>
    <xf numFmtId="41" fontId="3" fillId="0" borderId="0" xfId="127" applyNumberFormat="1" applyFont="1" applyAlignment="1" applyProtection="1">
      <alignment horizontal="center" vertical="center"/>
      <protection/>
    </xf>
    <xf numFmtId="41" fontId="3" fillId="0" borderId="6" xfId="127" applyNumberFormat="1" applyFont="1" applyBorder="1" applyAlignment="1" applyProtection="1">
      <alignment/>
      <protection/>
    </xf>
    <xf numFmtId="41" fontId="3" fillId="0" borderId="17" xfId="127" applyNumberFormat="1" applyFont="1" applyBorder="1" applyAlignment="1" applyProtection="1">
      <alignment/>
      <protection/>
    </xf>
    <xf numFmtId="164" fontId="3" fillId="0" borderId="0" xfId="127" applyNumberFormat="1" applyFont="1" applyAlignment="1" applyProtection="1">
      <alignment horizontal="center"/>
      <protection/>
    </xf>
    <xf numFmtId="0" fontId="80" fillId="0" borderId="0" xfId="127" applyNumberFormat="1" applyFont="1" applyAlignment="1" applyProtection="1">
      <alignment horizontal="center"/>
      <protection/>
    </xf>
    <xf numFmtId="172" fontId="3" fillId="0" borderId="0" xfId="127" applyFont="1" applyAlignment="1" applyProtection="1">
      <alignment horizontal="center"/>
      <protection/>
    </xf>
    <xf numFmtId="172" fontId="3" fillId="0" borderId="0" xfId="127" applyFont="1" applyFill="1" applyAlignment="1" applyProtection="1">
      <alignment horizontal="center"/>
      <protection/>
    </xf>
    <xf numFmtId="0" fontId="0" fillId="0" borderId="0" xfId="0" applyAlignment="1" applyProtection="1">
      <alignment horizontal="center"/>
      <protection/>
    </xf>
    <xf numFmtId="0" fontId="4" fillId="0" borderId="0" xfId="127" applyNumberFormat="1" applyFont="1" applyAlignment="1" applyProtection="1">
      <alignment horizontal="center"/>
      <protection/>
    </xf>
    <xf numFmtId="3" fontId="10" fillId="0" borderId="0" xfId="127" applyNumberFormat="1" applyFont="1" applyAlignment="1" applyProtection="1">
      <alignment horizontal="center"/>
      <protection/>
    </xf>
    <xf numFmtId="3" fontId="4" fillId="0" borderId="0" xfId="127" applyNumberFormat="1" applyFont="1" applyFill="1" applyAlignment="1" applyProtection="1">
      <alignment/>
      <protection/>
    </xf>
    <xf numFmtId="3" fontId="10" fillId="0" borderId="0" xfId="127" applyNumberFormat="1" applyFont="1" applyFill="1" applyAlignment="1" applyProtection="1">
      <alignment/>
      <protection/>
    </xf>
    <xf numFmtId="3" fontId="10" fillId="0" borderId="0" xfId="127" applyNumberFormat="1" applyFont="1" applyAlignment="1" applyProtection="1">
      <alignment/>
      <protection/>
    </xf>
    <xf numFmtId="41" fontId="126" fillId="26" borderId="0" xfId="127" applyNumberFormat="1" applyFont="1" applyFill="1" applyAlignment="1" applyProtection="1">
      <alignment wrapText="1"/>
      <protection/>
    </xf>
    <xf numFmtId="0" fontId="0" fillId="0" borderId="0" xfId="0" applyFont="1" applyBorder="1" applyAlignment="1" applyProtection="1">
      <alignment/>
      <protection/>
    </xf>
    <xf numFmtId="43" fontId="0" fillId="0" borderId="0" xfId="73" applyNumberFormat="1" applyFont="1" applyAlignment="1" applyProtection="1">
      <alignment/>
      <protection/>
    </xf>
    <xf numFmtId="41" fontId="3" fillId="0" borderId="0" xfId="127" applyNumberFormat="1" applyFont="1" applyFill="1" applyAlignment="1" applyProtection="1">
      <alignment horizontal="center"/>
      <protection/>
    </xf>
    <xf numFmtId="3" fontId="87" fillId="0" borderId="0" xfId="127" applyNumberFormat="1" applyFont="1" applyFill="1" applyAlignment="1" applyProtection="1">
      <alignment horizontal="right"/>
      <protection/>
    </xf>
    <xf numFmtId="41" fontId="3" fillId="0" borderId="0" xfId="127" applyNumberFormat="1" applyFont="1" applyBorder="1" applyAlignment="1" applyProtection="1">
      <alignment/>
      <protection/>
    </xf>
    <xf numFmtId="3" fontId="3" fillId="0" borderId="0" xfId="127" applyNumberFormat="1" applyFont="1" applyAlignment="1" applyProtection="1">
      <alignment vertical="center" wrapText="1"/>
      <protection/>
    </xf>
    <xf numFmtId="41" fontId="87" fillId="0" borderId="0" xfId="127" applyNumberFormat="1" applyFont="1" applyFill="1" applyAlignment="1" applyProtection="1">
      <alignment horizontal="right"/>
      <protection/>
    </xf>
    <xf numFmtId="3" fontId="3" fillId="0" borderId="0" xfId="127" applyNumberFormat="1" applyFont="1" applyAlignment="1" applyProtection="1">
      <alignment horizontal="center" vertical="center"/>
      <protection/>
    </xf>
    <xf numFmtId="3" fontId="3" fillId="0" borderId="0" xfId="127" applyNumberFormat="1" applyFont="1" applyAlignment="1" applyProtection="1">
      <alignment vertical="center"/>
      <protection/>
    </xf>
    <xf numFmtId="41" fontId="3" fillId="0" borderId="0" xfId="127" applyNumberFormat="1" applyFont="1" applyAlignment="1" applyProtection="1">
      <alignment vertical="center"/>
      <protection/>
    </xf>
    <xf numFmtId="41" fontId="4" fillId="26" borderId="0" xfId="127" applyNumberFormat="1" applyFont="1" applyFill="1" applyAlignment="1" applyProtection="1">
      <alignment horizontal="center" vertical="center"/>
      <protection/>
    </xf>
    <xf numFmtId="3" fontId="3" fillId="0" borderId="0" xfId="127" applyNumberFormat="1" applyFont="1" applyAlignment="1" applyProtection="1">
      <alignment horizontal="left" wrapText="1"/>
      <protection/>
    </xf>
    <xf numFmtId="0" fontId="0" fillId="0" borderId="0" xfId="0" applyFont="1" applyAlignment="1" applyProtection="1">
      <alignment horizontal="left" wrapText="1"/>
      <protection/>
    </xf>
    <xf numFmtId="166" fontId="3" fillId="0" borderId="0" xfId="127" applyNumberFormat="1" applyFont="1" applyAlignment="1" applyProtection="1">
      <alignment/>
      <protection/>
    </xf>
    <xf numFmtId="167" fontId="3" fillId="0" borderId="0" xfId="127" applyNumberFormat="1" applyFont="1" applyAlignment="1" applyProtection="1">
      <alignment/>
      <protection/>
    </xf>
    <xf numFmtId="172" fontId="21" fillId="0" borderId="0" xfId="127" applyFont="1" applyAlignment="1" applyProtection="1">
      <alignment/>
      <protection/>
    </xf>
    <xf numFmtId="164" fontId="3" fillId="0" borderId="0" xfId="127" applyNumberFormat="1" applyFont="1" applyBorder="1" applyAlignment="1" applyProtection="1">
      <alignment horizontal="left"/>
      <protection/>
    </xf>
    <xf numFmtId="168" fontId="3" fillId="0" borderId="0" xfId="127" applyNumberFormat="1" applyFont="1" applyAlignment="1" applyProtection="1">
      <alignment/>
      <protection/>
    </xf>
    <xf numFmtId="10" fontId="3" fillId="0" borderId="0" xfId="127" applyNumberFormat="1" applyFont="1" applyFill="1" applyAlignment="1" applyProtection="1">
      <alignment horizontal="right"/>
      <protection/>
    </xf>
    <xf numFmtId="10" fontId="0" fillId="0" borderId="0" xfId="135" applyNumberFormat="1" applyFont="1" applyAlignment="1" applyProtection="1">
      <alignment/>
      <protection/>
    </xf>
    <xf numFmtId="3" fontId="21" fillId="0" borderId="0" xfId="127" applyNumberFormat="1" applyFont="1" applyAlignment="1" applyProtection="1">
      <alignment/>
      <protection/>
    </xf>
    <xf numFmtId="167" fontId="3" fillId="0" borderId="0" xfId="127" applyNumberFormat="1" applyFont="1" applyFill="1" applyAlignment="1" applyProtection="1">
      <alignment/>
      <protection/>
    </xf>
    <xf numFmtId="166" fontId="3" fillId="0" borderId="0" xfId="127" applyNumberFormat="1" applyFont="1" applyAlignment="1" applyProtection="1">
      <alignment horizontal="center"/>
      <protection/>
    </xf>
    <xf numFmtId="190" fontId="21" fillId="0" borderId="0" xfId="127" applyNumberFormat="1" applyFont="1" applyAlignment="1" applyProtection="1">
      <alignment horizontal="center"/>
      <protection/>
    </xf>
    <xf numFmtId="191" fontId="3" fillId="0" borderId="0" xfId="127" applyNumberFormat="1" applyFont="1" applyAlignment="1" applyProtection="1">
      <alignment/>
      <protection/>
    </xf>
    <xf numFmtId="164" fontId="3" fillId="0" borderId="0" xfId="127" applyNumberFormat="1" applyFont="1" applyFill="1" applyBorder="1" applyAlignment="1" applyProtection="1">
      <alignment horizontal="left"/>
      <protection/>
    </xf>
    <xf numFmtId="179" fontId="3" fillId="0" borderId="0" xfId="127" applyNumberFormat="1" applyFont="1" applyFill="1" applyAlignment="1" applyProtection="1">
      <alignment horizontal="right"/>
      <protection/>
    </xf>
    <xf numFmtId="187" fontId="3" fillId="0" borderId="0" xfId="73" applyNumberFormat="1" applyFont="1" applyAlignment="1" applyProtection="1">
      <alignment horizontal="center"/>
      <protection/>
    </xf>
    <xf numFmtId="41" fontId="21" fillId="0" borderId="0" xfId="127" applyNumberFormat="1" applyFont="1" applyAlignment="1" applyProtection="1">
      <alignment/>
      <protection/>
    </xf>
    <xf numFmtId="43" fontId="21" fillId="0" borderId="0" xfId="73" applyFont="1" applyAlignment="1" applyProtection="1">
      <alignment/>
      <protection/>
    </xf>
    <xf numFmtId="179" fontId="3" fillId="0" borderId="0" xfId="127" applyNumberFormat="1" applyFont="1" applyAlignment="1" applyProtection="1">
      <alignment horizontal="center"/>
      <protection/>
    </xf>
    <xf numFmtId="190" fontId="3" fillId="0" borderId="0" xfId="127" applyNumberFormat="1" applyFont="1" applyAlignment="1" applyProtection="1">
      <alignment horizontal="center"/>
      <protection/>
    </xf>
    <xf numFmtId="10" fontId="3" fillId="0" borderId="0" xfId="127" applyNumberFormat="1" applyFont="1" applyFill="1" applyAlignment="1" applyProtection="1">
      <alignment horizontal="left"/>
      <protection/>
    </xf>
    <xf numFmtId="168" fontId="3" fillId="0" borderId="0" xfId="127" applyNumberFormat="1" applyFont="1" applyFill="1" applyAlignment="1" applyProtection="1">
      <alignment horizontal="left"/>
      <protection/>
    </xf>
    <xf numFmtId="41" fontId="3" fillId="0" borderId="0" xfId="127" applyNumberFormat="1" applyFont="1" applyAlignment="1" applyProtection="1">
      <alignment horizontal="right"/>
      <protection/>
    </xf>
    <xf numFmtId="0" fontId="0" fillId="0" borderId="0" xfId="0" applyFont="1" applyAlignment="1" applyProtection="1">
      <alignment/>
      <protection/>
    </xf>
    <xf numFmtId="41" fontId="3" fillId="0" borderId="11" xfId="127" applyNumberFormat="1" applyFont="1" applyBorder="1" applyAlignment="1" applyProtection="1">
      <alignment/>
      <protection/>
    </xf>
    <xf numFmtId="41" fontId="3" fillId="0" borderId="0" xfId="127" applyNumberFormat="1" applyFont="1" applyFill="1" applyAlignment="1" applyProtection="1">
      <alignment horizontal="right"/>
      <protection/>
    </xf>
    <xf numFmtId="179" fontId="3" fillId="0" borderId="0" xfId="127" applyNumberFormat="1" applyFont="1" applyAlignment="1" applyProtection="1">
      <alignment/>
      <protection/>
    </xf>
    <xf numFmtId="173" fontId="3" fillId="0" borderId="0" xfId="127" applyNumberFormat="1" applyFont="1" applyAlignment="1" applyProtection="1">
      <alignment/>
      <protection/>
    </xf>
    <xf numFmtId="164" fontId="3" fillId="0" borderId="0" xfId="127" applyNumberFormat="1" applyFont="1" applyFill="1" applyBorder="1" applyAlignment="1" applyProtection="1">
      <alignment horizontal="left" vertical="center"/>
      <protection/>
    </xf>
    <xf numFmtId="41" fontId="3" fillId="0" borderId="0" xfId="127" applyNumberFormat="1" applyFont="1" applyFill="1" applyAlignment="1" applyProtection="1">
      <alignment horizontal="center" vertical="center"/>
      <protection/>
    </xf>
    <xf numFmtId="180" fontId="3" fillId="0" borderId="0" xfId="127" applyNumberFormat="1" applyFont="1" applyAlignment="1" applyProtection="1">
      <alignment/>
      <protection/>
    </xf>
    <xf numFmtId="173" fontId="3" fillId="0" borderId="14" xfId="73" applyNumberFormat="1" applyFont="1" applyBorder="1" applyAlignment="1" applyProtection="1">
      <alignment/>
      <protection/>
    </xf>
    <xf numFmtId="0" fontId="3" fillId="0" borderId="0" xfId="127" applyNumberFormat="1" applyFont="1" applyFill="1" applyBorder="1" applyAlignment="1" applyProtection="1">
      <alignment horizontal="left"/>
      <protection/>
    </xf>
    <xf numFmtId="0" fontId="4" fillId="0" borderId="0" xfId="127" applyNumberFormat="1" applyFont="1" applyAlignment="1" applyProtection="1">
      <alignment/>
      <protection/>
    </xf>
    <xf numFmtId="0" fontId="3" fillId="0" borderId="0" xfId="0" applyFont="1" applyFill="1" applyAlignment="1" applyProtection="1">
      <alignment horizontal="left"/>
      <protection/>
    </xf>
    <xf numFmtId="0" fontId="3" fillId="0" borderId="0" xfId="127" applyNumberFormat="1" applyFont="1" applyFill="1" applyBorder="1" applyProtection="1">
      <alignment/>
      <protection/>
    </xf>
    <xf numFmtId="3" fontId="3" fillId="0" borderId="0" xfId="127" applyNumberFormat="1" applyFont="1" applyFill="1" applyBorder="1" applyAlignment="1" applyProtection="1">
      <alignment/>
      <protection/>
    </xf>
    <xf numFmtId="172" fontId="3" fillId="0" borderId="0" xfId="127" applyFont="1" applyFill="1" applyBorder="1" applyAlignment="1" applyProtection="1">
      <alignment/>
      <protection/>
    </xf>
    <xf numFmtId="172" fontId="3" fillId="0" borderId="0" xfId="127" applyFont="1" applyFill="1" applyBorder="1" applyAlignment="1" applyProtection="1">
      <alignment horizontal="center"/>
      <protection/>
    </xf>
    <xf numFmtId="3" fontId="3" fillId="0" borderId="0" xfId="127" applyNumberFormat="1" applyFont="1" applyFill="1" applyBorder="1" applyAlignment="1" applyProtection="1">
      <alignment horizontal="left"/>
      <protection/>
    </xf>
    <xf numFmtId="0" fontId="3" fillId="0" borderId="0" xfId="127" applyNumberFormat="1" applyFont="1" applyFill="1" applyBorder="1" applyAlignment="1" applyProtection="1">
      <alignment horizontal="center"/>
      <protection/>
    </xf>
    <xf numFmtId="49" fontId="3" fillId="0" borderId="0" xfId="127" applyNumberFormat="1" applyFont="1" applyFill="1" applyBorder="1" applyProtection="1">
      <alignment/>
      <protection/>
    </xf>
    <xf numFmtId="49" fontId="3" fillId="0" borderId="0" xfId="127" applyNumberFormat="1" applyFont="1" applyFill="1" applyBorder="1" applyAlignment="1" applyProtection="1">
      <alignment/>
      <protection/>
    </xf>
    <xf numFmtId="49" fontId="3" fillId="0" borderId="0" xfId="127" applyNumberFormat="1" applyFont="1" applyFill="1" applyBorder="1" applyAlignment="1" applyProtection="1">
      <alignment horizontal="center"/>
      <protection/>
    </xf>
    <xf numFmtId="3" fontId="4" fillId="0" borderId="0" xfId="127" applyNumberFormat="1" applyFont="1" applyFill="1" applyBorder="1" applyAlignment="1" applyProtection="1">
      <alignment horizontal="right"/>
      <protection/>
    </xf>
    <xf numFmtId="165" fontId="4" fillId="0" borderId="0" xfId="127" applyNumberFormat="1" applyFont="1" applyFill="1" applyBorder="1" applyAlignment="1" applyProtection="1">
      <alignment horizontal="right"/>
      <protection/>
    </xf>
    <xf numFmtId="0" fontId="4" fillId="0" borderId="0" xfId="127" applyNumberFormat="1" applyFont="1" applyFill="1" applyAlignment="1" applyProtection="1">
      <alignment/>
      <protection/>
    </xf>
    <xf numFmtId="3" fontId="3" fillId="0" borderId="0" xfId="127" applyNumberFormat="1" applyFont="1" applyFill="1" applyProtection="1">
      <alignment/>
      <protection/>
    </xf>
    <xf numFmtId="3" fontId="3" fillId="0" borderId="0" xfId="127" applyNumberFormat="1" applyFont="1" applyFill="1" applyAlignment="1" applyProtection="1">
      <alignment horizontal="center" wrapText="1"/>
      <protection/>
    </xf>
    <xf numFmtId="173" fontId="3" fillId="0" borderId="0" xfId="73" applyNumberFormat="1" applyFont="1" applyFill="1" applyAlignment="1" applyProtection="1">
      <alignment/>
      <protection/>
    </xf>
    <xf numFmtId="4" fontId="3" fillId="0" borderId="0" xfId="127" applyNumberFormat="1" applyFont="1" applyAlignment="1" applyProtection="1">
      <alignment/>
      <protection/>
    </xf>
    <xf numFmtId="172" fontId="4" fillId="0" borderId="0" xfId="127" applyFont="1" applyAlignment="1" applyProtection="1">
      <alignment horizontal="right"/>
      <protection/>
    </xf>
    <xf numFmtId="165" fontId="4" fillId="0" borderId="0" xfId="127" applyNumberFormat="1" applyFont="1" applyAlignment="1" applyProtection="1">
      <alignment/>
      <protection/>
    </xf>
    <xf numFmtId="0" fontId="10" fillId="0" borderId="0" xfId="127" applyNumberFormat="1" applyFont="1" applyFill="1" applyBorder="1" applyAlignment="1" applyProtection="1">
      <alignment/>
      <protection/>
    </xf>
    <xf numFmtId="3" fontId="3" fillId="0" borderId="6" xfId="127" applyNumberFormat="1" applyFont="1" applyFill="1" applyBorder="1" applyAlignment="1" applyProtection="1">
      <alignment horizontal="center"/>
      <protection/>
    </xf>
    <xf numFmtId="41" fontId="4" fillId="0" borderId="0" xfId="127" applyNumberFormat="1" applyFont="1" applyFill="1" applyAlignment="1" applyProtection="1">
      <alignment/>
      <protection/>
    </xf>
    <xf numFmtId="0" fontId="13" fillId="0" borderId="0" xfId="127" applyNumberFormat="1" applyFont="1" applyFill="1" applyBorder="1" applyAlignment="1" applyProtection="1">
      <alignment horizontal="left"/>
      <protection/>
    </xf>
    <xf numFmtId="0" fontId="0" fillId="0" borderId="0" xfId="0" applyFont="1" applyFill="1" applyAlignment="1" applyProtection="1">
      <alignment/>
      <protection/>
    </xf>
    <xf numFmtId="0" fontId="3" fillId="0" borderId="0" xfId="127" applyNumberFormat="1" applyFont="1" applyFill="1" applyAlignment="1" applyProtection="1">
      <alignment horizontal="left"/>
      <protection/>
    </xf>
    <xf numFmtId="0" fontId="3" fillId="0" borderId="6" xfId="127" applyNumberFormat="1" applyFont="1" applyFill="1" applyBorder="1" applyAlignment="1" applyProtection="1">
      <alignment horizontal="center"/>
      <protection/>
    </xf>
    <xf numFmtId="182" fontId="3" fillId="0" borderId="6" xfId="73" applyNumberFormat="1" applyFont="1" applyFill="1" applyBorder="1" applyAlignment="1" applyProtection="1">
      <alignment horizontal="center"/>
      <protection/>
    </xf>
    <xf numFmtId="0" fontId="3" fillId="26" borderId="0" xfId="127" applyNumberFormat="1" applyFont="1" applyFill="1" applyBorder="1" applyAlignment="1" applyProtection="1">
      <alignment/>
      <protection/>
    </xf>
    <xf numFmtId="41" fontId="3" fillId="0" borderId="0" xfId="127" applyNumberFormat="1" applyFont="1" applyFill="1" applyAlignment="1" applyProtection="1">
      <alignment/>
      <protection/>
    </xf>
    <xf numFmtId="10" fontId="3" fillId="0" borderId="0" xfId="127" applyNumberFormat="1" applyFont="1" applyFill="1" applyAlignment="1" applyProtection="1">
      <alignment/>
      <protection/>
    </xf>
    <xf numFmtId="169" fontId="3" fillId="0" borderId="0" xfId="127" applyNumberFormat="1" applyFont="1" applyFill="1" applyAlignment="1" applyProtection="1">
      <alignment/>
      <protection/>
    </xf>
    <xf numFmtId="169" fontId="3" fillId="0" borderId="15" xfId="127" applyNumberFormat="1" applyFont="1" applyFill="1" applyBorder="1" applyAlignment="1" applyProtection="1">
      <alignment/>
      <protection/>
    </xf>
    <xf numFmtId="169" fontId="3" fillId="0" borderId="0" xfId="127" applyNumberFormat="1" applyFont="1" applyFill="1" applyBorder="1" applyAlignment="1" applyProtection="1">
      <alignment/>
      <protection/>
    </xf>
    <xf numFmtId="10" fontId="3" fillId="0" borderId="6" xfId="127" applyNumberFormat="1" applyFont="1" applyFill="1" applyBorder="1" applyAlignment="1" applyProtection="1">
      <alignment/>
      <protection/>
    </xf>
    <xf numFmtId="169" fontId="3" fillId="0" borderId="6" xfId="127" applyNumberFormat="1" applyFont="1" applyFill="1" applyBorder="1" applyAlignment="1" applyProtection="1">
      <alignment/>
      <protection/>
    </xf>
    <xf numFmtId="182" fontId="0" fillId="0" borderId="0" xfId="73" applyNumberFormat="1" applyFont="1" applyFill="1" applyAlignment="1" applyProtection="1">
      <alignment/>
      <protection/>
    </xf>
    <xf numFmtId="169" fontId="4" fillId="0" borderId="0" xfId="127" applyNumberFormat="1" applyFont="1" applyFill="1" applyAlignment="1" applyProtection="1">
      <alignment/>
      <protection/>
    </xf>
    <xf numFmtId="0" fontId="1" fillId="27" borderId="0" xfId="127" applyNumberFormat="1" applyFont="1" applyFill="1" applyAlignment="1" applyProtection="1">
      <alignment horizontal="center"/>
      <protection/>
    </xf>
    <xf numFmtId="0" fontId="3" fillId="27" borderId="0" xfId="127" applyNumberFormat="1" applyFont="1" applyFill="1" applyAlignment="1" applyProtection="1">
      <alignment horizontal="center"/>
      <protection/>
    </xf>
    <xf numFmtId="0" fontId="10" fillId="27" borderId="0" xfId="127" applyNumberFormat="1" applyFont="1" applyFill="1" applyBorder="1" applyAlignment="1" applyProtection="1">
      <alignment/>
      <protection/>
    </xf>
    <xf numFmtId="0" fontId="3" fillId="27" borderId="0" xfId="127" applyNumberFormat="1" applyFont="1" applyFill="1" applyBorder="1" applyAlignment="1" applyProtection="1">
      <alignment horizontal="left"/>
      <protection/>
    </xf>
    <xf numFmtId="3" fontId="3" fillId="27" borderId="0" xfId="127" applyNumberFormat="1" applyFont="1" applyFill="1" applyAlignment="1" applyProtection="1">
      <alignment/>
      <protection/>
    </xf>
    <xf numFmtId="172" fontId="3" fillId="27" borderId="0" xfId="127" applyFont="1" applyFill="1" applyAlignment="1" applyProtection="1">
      <alignment/>
      <protection/>
    </xf>
    <xf numFmtId="3" fontId="4" fillId="27" borderId="0" xfId="127" applyNumberFormat="1" applyFont="1" applyFill="1" applyAlignment="1" applyProtection="1">
      <alignment/>
      <protection/>
    </xf>
    <xf numFmtId="166" fontId="4" fillId="27" borderId="0" xfId="127" applyNumberFormat="1" applyFont="1" applyFill="1" applyProtection="1">
      <alignment/>
      <protection/>
    </xf>
    <xf numFmtId="0" fontId="3" fillId="27" borderId="0" xfId="127" applyNumberFormat="1" applyFont="1" applyFill="1" applyBorder="1" applyAlignment="1" applyProtection="1">
      <alignment/>
      <protection/>
    </xf>
    <xf numFmtId="3" fontId="3" fillId="27" borderId="6" xfId="127" applyNumberFormat="1" applyFont="1" applyFill="1" applyBorder="1" applyAlignment="1" applyProtection="1">
      <alignment horizontal="center"/>
      <protection/>
    </xf>
    <xf numFmtId="41" fontId="3" fillId="27" borderId="0" xfId="127" applyNumberFormat="1" applyFont="1" applyFill="1" applyAlignment="1" applyProtection="1">
      <alignment/>
      <protection/>
    </xf>
    <xf numFmtId="0" fontId="13" fillId="27" borderId="0" xfId="127" applyNumberFormat="1" applyFont="1" applyFill="1" applyBorder="1" applyAlignment="1" applyProtection="1">
      <alignment horizontal="left"/>
      <protection/>
    </xf>
    <xf numFmtId="0" fontId="0" fillId="27" borderId="0" xfId="0" applyFill="1" applyAlignment="1" applyProtection="1">
      <alignment/>
      <protection/>
    </xf>
    <xf numFmtId="0" fontId="3" fillId="27" borderId="0" xfId="127" applyNumberFormat="1" applyFont="1" applyFill="1" applyProtection="1">
      <alignment/>
      <protection/>
    </xf>
    <xf numFmtId="0" fontId="0" fillId="27" borderId="0" xfId="0" applyFont="1" applyFill="1" applyAlignment="1" applyProtection="1">
      <alignment/>
      <protection/>
    </xf>
    <xf numFmtId="41" fontId="18" fillId="27" borderId="0" xfId="127" applyNumberFormat="1" applyFont="1" applyFill="1" applyAlignment="1" applyProtection="1">
      <alignment/>
      <protection/>
    </xf>
    <xf numFmtId="10" fontId="3" fillId="27" borderId="0" xfId="135" applyNumberFormat="1" applyFont="1" applyFill="1" applyAlignment="1" applyProtection="1">
      <alignment/>
      <protection/>
    </xf>
    <xf numFmtId="41" fontId="18" fillId="27" borderId="11" xfId="127" applyNumberFormat="1" applyFont="1" applyFill="1" applyBorder="1" applyAlignment="1" applyProtection="1">
      <alignment/>
      <protection/>
    </xf>
    <xf numFmtId="0" fontId="3" fillId="27" borderId="0" xfId="127" applyNumberFormat="1" applyFont="1" applyFill="1" applyAlignment="1" applyProtection="1">
      <alignment horizontal="left"/>
      <protection/>
    </xf>
    <xf numFmtId="3" fontId="21" fillId="27" borderId="0" xfId="127" applyNumberFormat="1" applyFont="1" applyFill="1" applyAlignment="1" applyProtection="1">
      <alignment/>
      <protection/>
    </xf>
    <xf numFmtId="0" fontId="3" fillId="27" borderId="6" xfId="127" applyNumberFormat="1" applyFont="1" applyFill="1" applyBorder="1" applyAlignment="1" applyProtection="1">
      <alignment horizontal="center"/>
      <protection/>
    </xf>
    <xf numFmtId="182" fontId="3" fillId="27" borderId="6" xfId="73" applyNumberFormat="1" applyFont="1" applyFill="1" applyBorder="1" applyAlignment="1" applyProtection="1">
      <alignment horizontal="center"/>
      <protection/>
    </xf>
    <xf numFmtId="10" fontId="3" fillId="27" borderId="0" xfId="127" applyNumberFormat="1" applyFont="1" applyFill="1" applyAlignment="1" applyProtection="1">
      <alignment/>
      <protection/>
    </xf>
    <xf numFmtId="169" fontId="21" fillId="27" borderId="0" xfId="127" applyNumberFormat="1" applyFont="1" applyFill="1" applyAlignment="1" applyProtection="1">
      <alignment/>
      <protection/>
    </xf>
    <xf numFmtId="169" fontId="3" fillId="27" borderId="15" xfId="127" applyNumberFormat="1" applyFont="1" applyFill="1" applyBorder="1" applyAlignment="1" applyProtection="1">
      <alignment/>
      <protection/>
    </xf>
    <xf numFmtId="169" fontId="3" fillId="27" borderId="0" xfId="127" applyNumberFormat="1" applyFont="1" applyFill="1" applyBorder="1" applyAlignment="1" applyProtection="1">
      <alignment/>
      <protection/>
    </xf>
    <xf numFmtId="10" fontId="3" fillId="27" borderId="0" xfId="127" applyNumberFormat="1" applyFont="1" applyFill="1" applyBorder="1" applyAlignment="1" applyProtection="1">
      <alignment/>
      <protection/>
    </xf>
    <xf numFmtId="41" fontId="3" fillId="27" borderId="6" xfId="127" applyNumberFormat="1" applyFont="1" applyFill="1" applyBorder="1" applyAlignment="1" applyProtection="1">
      <alignment/>
      <protection/>
    </xf>
    <xf numFmtId="169" fontId="3" fillId="27" borderId="6" xfId="127" applyNumberFormat="1" applyFont="1" applyFill="1" applyBorder="1" applyAlignment="1" applyProtection="1">
      <alignment/>
      <protection/>
    </xf>
    <xf numFmtId="182" fontId="20" fillId="27" borderId="0" xfId="73" applyNumberFormat="1" applyFont="1" applyFill="1" applyAlignment="1" applyProtection="1">
      <alignment/>
      <protection/>
    </xf>
    <xf numFmtId="3" fontId="4" fillId="27" borderId="0" xfId="127" applyNumberFormat="1" applyFont="1" applyFill="1" applyAlignment="1" applyProtection="1">
      <alignment horizontal="right"/>
      <protection/>
    </xf>
    <xf numFmtId="169" fontId="4" fillId="27" borderId="0" xfId="127" applyNumberFormat="1" applyFont="1" applyFill="1" applyAlignment="1" applyProtection="1">
      <alignment/>
      <protection/>
    </xf>
    <xf numFmtId="0" fontId="0" fillId="0" borderId="0" xfId="0" applyFill="1" applyAlignment="1" applyProtection="1">
      <alignment/>
      <protection/>
    </xf>
    <xf numFmtId="0" fontId="3" fillId="0" borderId="0" xfId="0" applyFont="1" applyFill="1" applyAlignment="1" applyProtection="1">
      <alignment/>
      <protection/>
    </xf>
    <xf numFmtId="172" fontId="3" fillId="0" borderId="0" xfId="127" applyNumberFormat="1" applyFont="1" applyAlignment="1" applyProtection="1">
      <alignment/>
      <protection/>
    </xf>
    <xf numFmtId="172" fontId="10" fillId="0" borderId="0" xfId="127" applyFont="1" applyAlignment="1" applyProtection="1">
      <alignment horizontal="center"/>
      <protection/>
    </xf>
    <xf numFmtId="172" fontId="1" fillId="0" borderId="0" xfId="127" applyFont="1" applyFill="1" applyAlignment="1" applyProtection="1">
      <alignment horizontal="center"/>
      <protection/>
    </xf>
    <xf numFmtId="172" fontId="1" fillId="0" borderId="0" xfId="127" applyFont="1" applyFill="1" applyAlignment="1" applyProtection="1">
      <alignment/>
      <protection/>
    </xf>
    <xf numFmtId="10" fontId="3" fillId="0" borderId="0" xfId="127" applyNumberFormat="1" applyFont="1" applyFill="1" applyProtection="1">
      <alignment/>
      <protection/>
    </xf>
    <xf numFmtId="0" fontId="3" fillId="0" borderId="0" xfId="0" applyFont="1" applyAlignment="1" applyProtection="1">
      <alignment/>
      <protection/>
    </xf>
    <xf numFmtId="0" fontId="0" fillId="0" borderId="0" xfId="0" applyFont="1" applyAlignment="1" applyProtection="1">
      <alignment/>
      <protection/>
    </xf>
    <xf numFmtId="0" fontId="20" fillId="0" borderId="0" xfId="0" applyFont="1" applyAlignment="1" applyProtection="1">
      <alignment/>
      <protection/>
    </xf>
    <xf numFmtId="0" fontId="3" fillId="0" borderId="0" xfId="127" applyNumberFormat="1" applyFont="1" applyFill="1" applyAlignment="1" applyProtection="1">
      <alignment/>
      <protection/>
    </xf>
    <xf numFmtId="0" fontId="3" fillId="0" borderId="0" xfId="127" applyNumberFormat="1" applyFont="1" applyFill="1" applyAlignment="1" applyProtection="1">
      <alignment/>
      <protection/>
    </xf>
    <xf numFmtId="0" fontId="3" fillId="0" borderId="0" xfId="127" applyNumberFormat="1" applyFont="1" applyFill="1" applyProtection="1">
      <alignment/>
      <protection/>
    </xf>
    <xf numFmtId="172" fontId="3" fillId="0" borderId="0" xfId="127" applyFont="1" applyFill="1" applyAlignment="1" applyProtection="1">
      <alignment/>
      <protection/>
    </xf>
    <xf numFmtId="0" fontId="3" fillId="0" borderId="0" xfId="0" applyFont="1" applyAlignment="1" applyProtection="1">
      <alignment vertical="top" wrapText="1"/>
      <protection/>
    </xf>
    <xf numFmtId="172" fontId="3" fillId="0" borderId="0" xfId="127" applyFont="1" applyFill="1" applyAlignment="1" applyProtection="1">
      <alignment wrapText="1"/>
      <protection/>
    </xf>
    <xf numFmtId="172" fontId="3" fillId="0" borderId="0" xfId="127" applyFont="1" applyFill="1" applyAlignment="1" applyProtection="1">
      <alignment/>
      <protection/>
    </xf>
    <xf numFmtId="172" fontId="21" fillId="0" borderId="0" xfId="127" applyFont="1" applyFill="1" applyAlignment="1" applyProtection="1">
      <alignment/>
      <protection/>
    </xf>
    <xf numFmtId="0" fontId="1" fillId="0" borderId="0" xfId="127" applyNumberFormat="1" applyFont="1" applyFill="1" applyProtection="1">
      <alignment/>
      <protection/>
    </xf>
    <xf numFmtId="172" fontId="1" fillId="0" borderId="0" xfId="127" applyFont="1" applyFill="1" applyAlignment="1" applyProtection="1">
      <alignment horizontal="center" wrapText="1"/>
      <protection/>
    </xf>
    <xf numFmtId="172" fontId="71" fillId="0" borderId="0" xfId="127" applyFont="1" applyFill="1" applyAlignment="1" applyProtection="1">
      <alignment horizontal="center" wrapText="1"/>
      <protection/>
    </xf>
    <xf numFmtId="0" fontId="87" fillId="0" borderId="0" xfId="127" applyNumberFormat="1" applyFont="1" applyFill="1" applyAlignment="1" applyProtection="1">
      <alignment horizontal="center"/>
      <protection/>
    </xf>
    <xf numFmtId="172" fontId="21" fillId="0" borderId="0" xfId="127" applyFont="1" applyAlignment="1" applyProtection="1">
      <alignment wrapText="1"/>
      <protection/>
    </xf>
    <xf numFmtId="41" fontId="18" fillId="0" borderId="0" xfId="127" applyNumberFormat="1" applyFont="1" applyFill="1" applyAlignment="1" applyProtection="1">
      <alignment/>
      <protection/>
    </xf>
    <xf numFmtId="41" fontId="18" fillId="0" borderId="11" xfId="127" applyNumberFormat="1" applyFont="1" applyFill="1" applyBorder="1" applyAlignment="1" applyProtection="1">
      <alignment/>
      <protection/>
    </xf>
    <xf numFmtId="0" fontId="3" fillId="0" borderId="0" xfId="0" applyFont="1" applyAlignment="1" applyProtection="1">
      <alignment horizontal="center"/>
      <protection/>
    </xf>
    <xf numFmtId="0" fontId="0" fillId="0" borderId="0" xfId="114" applyFont="1" applyBorder="1" applyProtection="1">
      <alignment/>
      <protection/>
    </xf>
    <xf numFmtId="0" fontId="3" fillId="0" borderId="0" xfId="114" applyFont="1" applyBorder="1" applyAlignment="1" applyProtection="1">
      <alignment horizontal="center"/>
      <protection/>
    </xf>
    <xf numFmtId="49" fontId="3" fillId="0" borderId="0" xfId="114" applyNumberFormat="1" applyFont="1" applyBorder="1" applyAlignment="1" applyProtection="1">
      <alignment horizontal="center"/>
      <protection/>
    </xf>
    <xf numFmtId="3" fontId="3" fillId="0" borderId="0" xfId="0" applyNumberFormat="1" applyFont="1" applyBorder="1" applyAlignment="1" applyProtection="1">
      <alignment horizontal="center"/>
      <protection/>
    </xf>
    <xf numFmtId="49" fontId="3" fillId="0" borderId="0" xfId="114" applyNumberFormat="1" applyFont="1" applyBorder="1" applyAlignment="1" applyProtection="1">
      <alignment horizontal="left"/>
      <protection/>
    </xf>
    <xf numFmtId="0" fontId="0" fillId="0" borderId="0" xfId="114" applyFont="1" applyBorder="1" applyAlignment="1" applyProtection="1">
      <alignment horizontal="center"/>
      <protection/>
    </xf>
    <xf numFmtId="0" fontId="9" fillId="0" borderId="0" xfId="114" applyFont="1" applyBorder="1" applyAlignment="1" applyProtection="1" quotePrefix="1">
      <alignment horizontal="center"/>
      <protection/>
    </xf>
    <xf numFmtId="0" fontId="9" fillId="0" borderId="0" xfId="114" applyFont="1" applyFill="1" applyBorder="1" applyAlignment="1" applyProtection="1" quotePrefix="1">
      <alignment horizontal="center"/>
      <protection/>
    </xf>
    <xf numFmtId="0" fontId="16" fillId="0" borderId="0" xfId="124" applyFont="1" applyAlignment="1" applyProtection="1">
      <alignment horizontal="center"/>
      <protection/>
    </xf>
    <xf numFmtId="0" fontId="16" fillId="0" borderId="0" xfId="114" applyFont="1" applyBorder="1" applyAlignment="1" applyProtection="1">
      <alignment horizontal="center"/>
      <protection/>
    </xf>
    <xf numFmtId="0" fontId="0" fillId="0" borderId="0" xfId="0" applyFont="1" applyBorder="1" applyAlignment="1" applyProtection="1">
      <alignment/>
      <protection/>
    </xf>
    <xf numFmtId="0" fontId="0" fillId="0" borderId="0" xfId="114" applyFont="1" applyFill="1" applyBorder="1" applyProtection="1">
      <alignment/>
      <protection/>
    </xf>
    <xf numFmtId="14" fontId="91" fillId="0" borderId="0" xfId="114" applyNumberFormat="1" applyFont="1" applyFill="1" applyBorder="1" applyAlignment="1" applyProtection="1">
      <alignment horizontal="center" wrapText="1"/>
      <protection/>
    </xf>
    <xf numFmtId="0" fontId="0" fillId="0" borderId="0" xfId="114" applyFont="1" applyFill="1" applyBorder="1" applyAlignment="1" applyProtection="1">
      <alignment horizontal="center" wrapText="1"/>
      <protection/>
    </xf>
    <xf numFmtId="0" fontId="20" fillId="0" borderId="0" xfId="114" applyFont="1" applyFill="1" applyBorder="1" applyAlignment="1" applyProtection="1">
      <alignment horizontal="center" wrapText="1"/>
      <protection/>
    </xf>
    <xf numFmtId="0" fontId="9" fillId="0" borderId="0" xfId="0" applyFont="1" applyBorder="1" applyAlignment="1" applyProtection="1">
      <alignment/>
      <protection/>
    </xf>
    <xf numFmtId="14" fontId="20" fillId="0" borderId="0" xfId="114" applyNumberFormat="1" applyFont="1" applyFill="1" applyBorder="1" applyAlignment="1" applyProtection="1">
      <alignment horizontal="center" wrapText="1"/>
      <protection/>
    </xf>
    <xf numFmtId="0" fontId="9" fillId="0" borderId="0" xfId="114" applyFont="1" applyFill="1" applyBorder="1" applyAlignment="1" applyProtection="1">
      <alignment horizontal="left"/>
      <protection/>
    </xf>
    <xf numFmtId="0" fontId="16" fillId="0" borderId="0" xfId="114" applyFont="1" applyFill="1" applyBorder="1" applyAlignment="1" applyProtection="1">
      <alignment horizontal="left"/>
      <protection/>
    </xf>
    <xf numFmtId="0" fontId="0" fillId="0" borderId="0" xfId="114" applyFont="1" applyFill="1" applyBorder="1" applyAlignment="1" applyProtection="1">
      <alignment horizontal="center"/>
      <protection/>
    </xf>
    <xf numFmtId="0" fontId="0" fillId="0" borderId="0" xfId="114" applyNumberFormat="1" applyFont="1" applyFill="1" applyBorder="1" applyAlignment="1" applyProtection="1">
      <alignment/>
      <protection/>
    </xf>
    <xf numFmtId="0" fontId="0" fillId="0" borderId="0" xfId="114" applyFont="1" applyFill="1" applyBorder="1" applyAlignment="1" applyProtection="1">
      <alignment/>
      <protection/>
    </xf>
    <xf numFmtId="172" fontId="1" fillId="0" borderId="0" xfId="129" applyFill="1" applyBorder="1" applyAlignment="1" applyProtection="1">
      <alignment/>
      <protection/>
    </xf>
    <xf numFmtId="172" fontId="1" fillId="0" borderId="0" xfId="129" applyBorder="1" applyAlignment="1" applyProtection="1">
      <alignment/>
      <protection/>
    </xf>
    <xf numFmtId="0" fontId="0" fillId="0" borderId="0" xfId="114" applyNumberFormat="1" applyFont="1" applyFill="1" applyBorder="1" applyAlignment="1" applyProtection="1">
      <alignment horizontal="center"/>
      <protection/>
    </xf>
    <xf numFmtId="3" fontId="0" fillId="0" borderId="0" xfId="114" applyNumberFormat="1" applyFont="1" applyFill="1" applyBorder="1" applyAlignment="1" applyProtection="1">
      <alignment/>
      <protection/>
    </xf>
    <xf numFmtId="173" fontId="106" fillId="0" borderId="0" xfId="73" applyNumberFormat="1" applyFont="1" applyFill="1" applyAlignment="1" applyProtection="1">
      <alignment/>
      <protection/>
    </xf>
    <xf numFmtId="3" fontId="0" fillId="0" borderId="0" xfId="114" applyNumberFormat="1" applyFont="1" applyFill="1" applyBorder="1" applyAlignment="1" applyProtection="1">
      <alignment horizontal="right"/>
      <protection/>
    </xf>
    <xf numFmtId="0" fontId="8" fillId="0" borderId="0" xfId="114" applyNumberFormat="1" applyFont="1" applyFill="1" applyBorder="1" applyAlignment="1" applyProtection="1">
      <alignment horizontal="center"/>
      <protection/>
    </xf>
    <xf numFmtId="0" fontId="9" fillId="0" borderId="0" xfId="114" applyNumberFormat="1" applyFont="1" applyFill="1" applyBorder="1" applyAlignment="1" applyProtection="1">
      <alignment horizontal="left"/>
      <protection/>
    </xf>
    <xf numFmtId="173" fontId="0" fillId="0" borderId="0" xfId="73" applyNumberFormat="1" applyFont="1" applyFill="1" applyAlignment="1" applyProtection="1">
      <alignment/>
      <protection/>
    </xf>
    <xf numFmtId="173" fontId="0" fillId="0" borderId="0" xfId="76" applyNumberFormat="1" applyFont="1" applyFill="1" applyBorder="1" applyAlignment="1" applyProtection="1">
      <alignment horizontal="right"/>
      <protection/>
    </xf>
    <xf numFmtId="0" fontId="0" fillId="0" borderId="0" xfId="114" applyNumberFormat="1" applyFont="1" applyFill="1" applyBorder="1" applyAlignment="1" applyProtection="1">
      <alignment horizontal="left"/>
      <protection/>
    </xf>
    <xf numFmtId="173" fontId="0" fillId="0" borderId="13" xfId="0" applyNumberFormat="1" applyBorder="1" applyAlignment="1" applyProtection="1">
      <alignment/>
      <protection/>
    </xf>
    <xf numFmtId="173" fontId="0" fillId="0" borderId="0" xfId="114" applyNumberFormat="1" applyFont="1" applyFill="1" applyBorder="1" applyAlignment="1" applyProtection="1">
      <alignment horizontal="left"/>
      <protection/>
    </xf>
    <xf numFmtId="1" fontId="0" fillId="0" borderId="0" xfId="114" applyNumberFormat="1" applyFont="1" applyFill="1" applyBorder="1" applyAlignment="1" applyProtection="1">
      <alignment horizontal="center"/>
      <protection/>
    </xf>
    <xf numFmtId="3" fontId="0" fillId="0" borderId="0" xfId="114" applyNumberFormat="1" applyFont="1" applyFill="1" applyBorder="1" applyAlignment="1" applyProtection="1">
      <alignment horizontal="center"/>
      <protection/>
    </xf>
    <xf numFmtId="173" fontId="0" fillId="0" borderId="0" xfId="114" applyNumberFormat="1" applyFont="1" applyFill="1" applyBorder="1" applyAlignment="1" applyProtection="1">
      <alignment/>
      <protection/>
    </xf>
    <xf numFmtId="0" fontId="0" fillId="0" borderId="0" xfId="114" applyFont="1" applyBorder="1" applyAlignment="1" applyProtection="1">
      <alignment/>
      <protection/>
    </xf>
    <xf numFmtId="173" fontId="0" fillId="0" borderId="0" xfId="114" applyNumberFormat="1" applyFont="1" applyFill="1" applyBorder="1" applyAlignment="1" applyProtection="1">
      <alignment horizontal="right"/>
      <protection/>
    </xf>
    <xf numFmtId="3" fontId="8" fillId="0" borderId="0" xfId="114" applyNumberFormat="1" applyFont="1" applyFill="1" applyBorder="1" applyAlignment="1" applyProtection="1">
      <alignment horizontal="center"/>
      <protection/>
    </xf>
    <xf numFmtId="173" fontId="0" fillId="0" borderId="0" xfId="0" applyNumberFormat="1" applyAlignment="1" applyProtection="1">
      <alignment/>
      <protection/>
    </xf>
    <xf numFmtId="173" fontId="0" fillId="0" borderId="0" xfId="0" applyNumberFormat="1" applyBorder="1" applyAlignment="1" applyProtection="1">
      <alignment/>
      <protection/>
    </xf>
    <xf numFmtId="0" fontId="16" fillId="0" borderId="0" xfId="114" applyNumberFormat="1" applyFont="1" applyFill="1" applyBorder="1" applyAlignment="1" applyProtection="1">
      <alignment horizontal="left"/>
      <protection/>
    </xf>
    <xf numFmtId="173" fontId="0" fillId="0" borderId="13" xfId="0" applyNumberFormat="1" applyFont="1" applyBorder="1" applyAlignment="1" applyProtection="1">
      <alignment/>
      <protection/>
    </xf>
    <xf numFmtId="0" fontId="7" fillId="0" borderId="0" xfId="114" applyFont="1" applyFill="1" applyBorder="1" applyAlignment="1" applyProtection="1">
      <alignment horizontal="left"/>
      <protection/>
    </xf>
    <xf numFmtId="0" fontId="0" fillId="0" borderId="0" xfId="0" applyFont="1" applyAlignment="1" applyProtection="1">
      <alignment/>
      <protection/>
    </xf>
    <xf numFmtId="173" fontId="0" fillId="0" borderId="11" xfId="0" applyNumberFormat="1" applyBorder="1" applyAlignment="1" applyProtection="1">
      <alignment/>
      <protection/>
    </xf>
    <xf numFmtId="173" fontId="0" fillId="0" borderId="11" xfId="73" applyNumberFormat="1" applyFont="1" applyFill="1" applyBorder="1" applyAlignment="1" applyProtection="1">
      <alignment/>
      <protection/>
    </xf>
    <xf numFmtId="173" fontId="8" fillId="25" borderId="0" xfId="76" applyNumberFormat="1" applyFont="1" applyFill="1" applyBorder="1" applyAlignment="1" applyProtection="1">
      <alignment horizontal="right"/>
      <protection locked="0"/>
    </xf>
    <xf numFmtId="173" fontId="106" fillId="25" borderId="0" xfId="76" applyNumberFormat="1" applyFont="1" applyFill="1" applyBorder="1" applyAlignment="1" applyProtection="1">
      <alignment horizontal="right"/>
      <protection locked="0"/>
    </xf>
    <xf numFmtId="173" fontId="8" fillId="0" borderId="0" xfId="0" applyNumberFormat="1" applyFont="1" applyFill="1" applyBorder="1" applyAlignment="1" applyProtection="1">
      <alignment/>
      <protection/>
    </xf>
    <xf numFmtId="173" fontId="8" fillId="25" borderId="0" xfId="0" applyNumberFormat="1" applyFont="1" applyFill="1" applyBorder="1" applyAlignment="1" applyProtection="1">
      <alignment/>
      <protection locked="0"/>
    </xf>
    <xf numFmtId="37" fontId="8" fillId="25" borderId="0" xfId="0" applyNumberFormat="1" applyFont="1" applyFill="1" applyAlignment="1" applyProtection="1">
      <alignment/>
      <protection locked="0"/>
    </xf>
    <xf numFmtId="0" fontId="8" fillId="25" borderId="0" xfId="0" applyFont="1" applyFill="1" applyAlignment="1" applyProtection="1">
      <alignment/>
      <protection locked="0"/>
    </xf>
    <xf numFmtId="49" fontId="3" fillId="0" borderId="0" xfId="124" applyNumberFormat="1" applyFont="1" applyAlignment="1" applyProtection="1">
      <alignment horizontal="center"/>
      <protection/>
    </xf>
    <xf numFmtId="0" fontId="16"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ont="1" applyFill="1" applyAlignment="1" applyProtection="1">
      <alignment/>
      <protection/>
    </xf>
    <xf numFmtId="0" fontId="0" fillId="0" borderId="0" xfId="0" applyFont="1" applyFill="1" applyAlignment="1" applyProtection="1">
      <alignment horizontal="left"/>
      <protection/>
    </xf>
    <xf numFmtId="0" fontId="0" fillId="0" borderId="0" xfId="0" applyFont="1" applyAlignment="1" applyProtection="1">
      <alignment horizontal="center"/>
      <protection/>
    </xf>
    <xf numFmtId="0" fontId="0" fillId="0" borderId="0" xfId="0" applyFont="1" applyAlignment="1" applyProtection="1">
      <alignment horizontal="left"/>
      <protection/>
    </xf>
    <xf numFmtId="0" fontId="12" fillId="0" borderId="0" xfId="0" applyFont="1" applyAlignment="1" applyProtection="1">
      <alignment horizontal="left"/>
      <protection/>
    </xf>
    <xf numFmtId="0" fontId="0" fillId="0" borderId="0" xfId="0" applyFont="1" applyAlignment="1" applyProtection="1">
      <alignment horizontal="center"/>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11" xfId="0" applyBorder="1" applyAlignment="1" applyProtection="1">
      <alignment/>
      <protection/>
    </xf>
    <xf numFmtId="0" fontId="0" fillId="0" borderId="0" xfId="0" applyFont="1" applyFill="1" applyAlignment="1" applyProtection="1">
      <alignment horizontal="left"/>
      <protection/>
    </xf>
    <xf numFmtId="43" fontId="0" fillId="0" borderId="0" xfId="0" applyNumberFormat="1" applyAlignment="1" applyProtection="1">
      <alignment/>
      <protection/>
    </xf>
    <xf numFmtId="174" fontId="0" fillId="0" borderId="0" xfId="73" applyNumberFormat="1" applyFont="1" applyFill="1" applyAlignment="1" applyProtection="1">
      <alignment/>
      <protection/>
    </xf>
    <xf numFmtId="43" fontId="0" fillId="0" borderId="13" xfId="0" applyNumberFormat="1" applyBorder="1" applyAlignment="1" applyProtection="1">
      <alignment/>
      <protection/>
    </xf>
    <xf numFmtId="172" fontId="3" fillId="0" borderId="0" xfId="127" applyFont="1" applyFill="1" applyAlignment="1" applyProtection="1">
      <alignment/>
      <protection/>
    </xf>
    <xf numFmtId="0" fontId="0" fillId="0" borderId="0" xfId="0" applyFont="1" applyAlignment="1" applyProtection="1">
      <alignment horizontal="center"/>
      <protection/>
    </xf>
    <xf numFmtId="174" fontId="0" fillId="0" borderId="0" xfId="73" applyNumberFormat="1" applyFont="1" applyFill="1" applyAlignment="1" applyProtection="1">
      <alignment/>
      <protection/>
    </xf>
    <xf numFmtId="174" fontId="0" fillId="0" borderId="0" xfId="0" applyNumberFormat="1" applyAlignment="1" applyProtection="1">
      <alignment/>
      <protection/>
    </xf>
    <xf numFmtId="43" fontId="8" fillId="25" borderId="0" xfId="0" applyNumberFormat="1" applyFont="1" applyFill="1" applyAlignment="1" applyProtection="1">
      <alignment/>
      <protection locked="0"/>
    </xf>
    <xf numFmtId="43" fontId="8" fillId="25" borderId="0" xfId="73" applyFont="1" applyFill="1" applyAlignment="1" applyProtection="1">
      <alignment/>
      <protection locked="0"/>
    </xf>
    <xf numFmtId="0" fontId="1" fillId="0" borderId="0" xfId="0" applyFont="1" applyAlignment="1" applyProtection="1">
      <alignment/>
      <protection/>
    </xf>
    <xf numFmtId="0" fontId="1" fillId="0" borderId="0" xfId="0" applyFont="1" applyAlignment="1" applyProtection="1">
      <alignment/>
      <protection/>
    </xf>
    <xf numFmtId="3" fontId="2" fillId="0" borderId="0" xfId="0" applyNumberFormat="1" applyFont="1" applyAlignment="1" applyProtection="1">
      <alignment horizontal="center"/>
      <protection/>
    </xf>
    <xf numFmtId="0" fontId="1" fillId="0" borderId="0" xfId="131" applyFont="1" applyProtection="1">
      <alignment/>
      <protection/>
    </xf>
    <xf numFmtId="0" fontId="1" fillId="0" borderId="0" xfId="131" applyFont="1" applyAlignment="1" applyProtection="1">
      <alignment horizontal="right"/>
      <protection/>
    </xf>
    <xf numFmtId="0" fontId="10" fillId="0" borderId="0" xfId="131" applyFont="1" applyAlignment="1" applyProtection="1">
      <alignment horizontal="center"/>
      <protection/>
    </xf>
    <xf numFmtId="0" fontId="3" fillId="0" borderId="0" xfId="0" applyFont="1" applyAlignment="1" applyProtection="1">
      <alignment/>
      <protection/>
    </xf>
    <xf numFmtId="0" fontId="3" fillId="0" borderId="0" xfId="131" applyFont="1" applyProtection="1">
      <alignment/>
      <protection/>
    </xf>
    <xf numFmtId="0" fontId="76" fillId="0" borderId="0" xfId="131" applyFont="1" applyProtection="1">
      <alignment/>
      <protection/>
    </xf>
    <xf numFmtId="0" fontId="3" fillId="0" borderId="0" xfId="0" applyFont="1" applyAlignment="1" applyProtection="1">
      <alignment horizontal="center"/>
      <protection/>
    </xf>
    <xf numFmtId="0" fontId="10" fillId="0" borderId="0" xfId="131" applyFont="1" applyBorder="1" applyAlignment="1" applyProtection="1">
      <alignment horizontal="center"/>
      <protection/>
    </xf>
    <xf numFmtId="0" fontId="1" fillId="0" borderId="0" xfId="0" applyFont="1" applyAlignment="1" applyProtection="1">
      <alignment horizontal="right"/>
      <protection/>
    </xf>
    <xf numFmtId="0" fontId="4" fillId="0" borderId="0" xfId="131" applyFont="1" applyFill="1" applyProtection="1">
      <alignment/>
      <protection/>
    </xf>
    <xf numFmtId="0" fontId="3" fillId="0" borderId="0" xfId="131" applyFont="1" applyAlignment="1" applyProtection="1">
      <alignment horizontal="center"/>
      <protection/>
    </xf>
    <xf numFmtId="0" fontId="9" fillId="0" borderId="0" xfId="131" applyFont="1" applyFill="1" applyAlignment="1" applyProtection="1">
      <alignment horizontal="center"/>
      <protection/>
    </xf>
    <xf numFmtId="0" fontId="9" fillId="0" borderId="0" xfId="131" applyFont="1" applyFill="1" applyProtection="1">
      <alignment/>
      <protection/>
    </xf>
    <xf numFmtId="0" fontId="94" fillId="0" borderId="0" xfId="0" applyFont="1" applyAlignment="1" applyProtection="1">
      <alignment/>
      <protection/>
    </xf>
    <xf numFmtId="0" fontId="94" fillId="0" borderId="0" xfId="131" applyFont="1" applyProtection="1">
      <alignment/>
      <protection/>
    </xf>
    <xf numFmtId="0" fontId="0" fillId="0" borderId="0" xfId="131" applyFont="1" applyProtection="1">
      <alignment/>
      <protection/>
    </xf>
    <xf numFmtId="173" fontId="0" fillId="0" borderId="0" xfId="131" applyNumberFormat="1" applyFont="1" applyFill="1" applyProtection="1">
      <alignment/>
      <protection/>
    </xf>
    <xf numFmtId="0" fontId="0" fillId="0" borderId="0" xfId="0" applyFont="1" applyAlignment="1" applyProtection="1">
      <alignment horizontal="center"/>
      <protection/>
    </xf>
    <xf numFmtId="172" fontId="0" fillId="0" borderId="0" xfId="131" applyNumberFormat="1" applyFont="1" applyFill="1" applyAlignment="1" applyProtection="1">
      <alignment horizontal="center"/>
      <protection/>
    </xf>
    <xf numFmtId="0" fontId="0" fillId="0" borderId="0" xfId="131" applyFont="1" applyFill="1" applyProtection="1">
      <alignment/>
      <protection/>
    </xf>
    <xf numFmtId="0" fontId="9" fillId="0" borderId="0" xfId="131" applyFont="1" applyProtection="1">
      <alignment/>
      <protection/>
    </xf>
    <xf numFmtId="43" fontId="0" fillId="0" borderId="0" xfId="83" applyFont="1" applyFill="1" applyAlignment="1" applyProtection="1">
      <alignment/>
      <protection/>
    </xf>
    <xf numFmtId="0" fontId="9" fillId="0" borderId="0" xfId="131" applyFont="1" applyProtection="1">
      <alignment/>
      <protection/>
    </xf>
    <xf numFmtId="186" fontId="0" fillId="0" borderId="0" xfId="0" applyNumberFormat="1" applyFont="1" applyAlignment="1" applyProtection="1">
      <alignment/>
      <protection/>
    </xf>
    <xf numFmtId="173" fontId="0" fillId="0" borderId="0" xfId="131" applyNumberFormat="1" applyFont="1" applyProtection="1">
      <alignment/>
      <protection/>
    </xf>
    <xf numFmtId="173" fontId="0" fillId="0" borderId="13" xfId="0" applyNumberFormat="1" applyFont="1" applyBorder="1" applyAlignment="1" applyProtection="1">
      <alignment/>
      <protection/>
    </xf>
    <xf numFmtId="173" fontId="20" fillId="0" borderId="13" xfId="0" applyNumberFormat="1" applyFont="1" applyBorder="1" applyAlignment="1" applyProtection="1">
      <alignment/>
      <protection/>
    </xf>
    <xf numFmtId="173" fontId="0" fillId="0" borderId="0" xfId="131" applyNumberFormat="1" applyFont="1" applyBorder="1" applyProtection="1">
      <alignment/>
      <protection/>
    </xf>
    <xf numFmtId="0" fontId="9" fillId="0" borderId="0" xfId="131" applyFont="1" applyFill="1" applyProtection="1">
      <alignment/>
      <protection/>
    </xf>
    <xf numFmtId="173" fontId="0" fillId="0" borderId="13" xfId="131" applyNumberFormat="1" applyFont="1" applyBorder="1" applyProtection="1">
      <alignment/>
      <protection/>
    </xf>
    <xf numFmtId="0" fontId="3" fillId="0" borderId="0" xfId="131" applyFont="1" applyProtection="1">
      <alignment/>
      <protection/>
    </xf>
    <xf numFmtId="43" fontId="3" fillId="0" borderId="0" xfId="83" applyFont="1" applyFill="1" applyAlignment="1" applyProtection="1">
      <alignment/>
      <protection/>
    </xf>
    <xf numFmtId="173" fontId="3" fillId="0" borderId="0" xfId="131" applyNumberFormat="1" applyFont="1" applyProtection="1">
      <alignment/>
      <protection/>
    </xf>
    <xf numFmtId="173" fontId="3" fillId="0" borderId="0" xfId="131" applyNumberFormat="1" applyFont="1" applyBorder="1" applyProtection="1">
      <alignment/>
      <protection/>
    </xf>
    <xf numFmtId="0" fontId="9" fillId="0" borderId="0" xfId="0" applyFont="1" applyFill="1" applyBorder="1" applyAlignment="1" applyProtection="1">
      <alignment horizontal="center"/>
      <protection/>
    </xf>
    <xf numFmtId="0" fontId="94" fillId="0" borderId="0" xfId="0" applyFont="1" applyFill="1" applyAlignment="1" applyProtection="1">
      <alignment/>
      <protection/>
    </xf>
    <xf numFmtId="0" fontId="4" fillId="0" borderId="0" xfId="0" applyFont="1" applyFill="1" applyBorder="1" applyAlignment="1" applyProtection="1">
      <alignment horizontal="center"/>
      <protection/>
    </xf>
    <xf numFmtId="0" fontId="1" fillId="0" borderId="0" xfId="0" applyFont="1" applyFill="1" applyAlignment="1" applyProtection="1">
      <alignment/>
      <protection/>
    </xf>
    <xf numFmtId="173" fontId="8" fillId="25" borderId="0" xfId="131" applyNumberFormat="1" applyFont="1" applyFill="1" applyProtection="1">
      <alignment/>
      <protection locked="0"/>
    </xf>
    <xf numFmtId="173" fontId="8" fillId="25" borderId="0" xfId="83" applyNumberFormat="1" applyFont="1" applyFill="1" applyAlignment="1" applyProtection="1">
      <alignment/>
      <protection locked="0"/>
    </xf>
    <xf numFmtId="41" fontId="18" fillId="25" borderId="0" xfId="124" applyNumberFormat="1" applyFont="1" applyFill="1" applyBorder="1" applyProtection="1">
      <alignment/>
      <protection locked="0"/>
    </xf>
    <xf numFmtId="0" fontId="58" fillId="0" borderId="0" xfId="124" applyFont="1" applyFill="1" applyBorder="1">
      <alignment/>
      <protection/>
    </xf>
    <xf numFmtId="3" fontId="18" fillId="25" borderId="0" xfId="0" applyNumberFormat="1" applyFont="1" applyFill="1" applyAlignment="1" applyProtection="1">
      <alignment/>
      <protection locked="0"/>
    </xf>
    <xf numFmtId="41" fontId="18" fillId="25" borderId="0" xfId="124" applyNumberFormat="1" applyFont="1" applyFill="1" applyBorder="1" applyProtection="1">
      <alignment/>
      <protection locked="0"/>
    </xf>
    <xf numFmtId="10" fontId="18" fillId="25" borderId="0" xfId="0" applyNumberFormat="1" applyFont="1" applyFill="1" applyBorder="1" applyAlignment="1" applyProtection="1">
      <alignment/>
      <protection locked="0"/>
    </xf>
    <xf numFmtId="10" fontId="18" fillId="25" borderId="11" xfId="0" applyNumberFormat="1" applyFont="1" applyFill="1" applyBorder="1" applyAlignment="1" applyProtection="1">
      <alignment/>
      <protection locked="0"/>
    </xf>
    <xf numFmtId="0" fontId="3" fillId="25" borderId="0" xfId="0" applyFont="1" applyFill="1" applyAlignment="1" applyProtection="1">
      <alignment/>
      <protection locked="0"/>
    </xf>
    <xf numFmtId="0" fontId="0" fillId="0" borderId="0" xfId="128" applyFont="1" applyProtection="1">
      <alignment/>
      <protection/>
    </xf>
    <xf numFmtId="0" fontId="3" fillId="0" borderId="0" xfId="128" applyFont="1" applyProtection="1">
      <alignment/>
      <protection/>
    </xf>
    <xf numFmtId="0" fontId="17" fillId="0" borderId="0" xfId="128" applyNumberFormat="1" applyFont="1" applyAlignment="1" applyProtection="1">
      <alignment horizontal="center"/>
      <protection/>
    </xf>
    <xf numFmtId="0" fontId="17" fillId="0" borderId="0" xfId="128" applyNumberFormat="1" applyFont="1" applyProtection="1">
      <alignment/>
      <protection/>
    </xf>
    <xf numFmtId="0" fontId="4" fillId="0" borderId="0" xfId="124" applyFont="1" applyFill="1" applyAlignment="1" applyProtection="1">
      <alignment horizontal="center"/>
      <protection/>
    </xf>
    <xf numFmtId="0" fontId="0" fillId="0" borderId="0" xfId="128" applyNumberFormat="1" applyFont="1" applyProtection="1">
      <alignment/>
      <protection/>
    </xf>
    <xf numFmtId="0" fontId="2" fillId="0" borderId="0" xfId="128" applyNumberFormat="1" applyFont="1" applyAlignment="1" applyProtection="1">
      <alignment horizontal="center"/>
      <protection/>
    </xf>
    <xf numFmtId="0" fontId="2" fillId="0" borderId="0" xfId="128" applyNumberFormat="1" applyFont="1" applyProtection="1">
      <alignment/>
      <protection/>
    </xf>
    <xf numFmtId="186" fontId="2" fillId="0" borderId="0" xfId="128" applyNumberFormat="1" applyFont="1" applyAlignment="1" applyProtection="1">
      <alignment horizontal="center"/>
      <protection/>
    </xf>
    <xf numFmtId="0" fontId="69" fillId="0" borderId="0" xfId="128" applyFont="1" applyProtection="1">
      <alignment/>
      <protection/>
    </xf>
    <xf numFmtId="0" fontId="9" fillId="0" borderId="0" xfId="128" applyFont="1" applyProtection="1">
      <alignment/>
      <protection/>
    </xf>
    <xf numFmtId="0" fontId="2" fillId="0" borderId="11" xfId="128" applyNumberFormat="1" applyFont="1" applyBorder="1" applyAlignment="1" applyProtection="1">
      <alignment horizontal="center"/>
      <protection/>
    </xf>
    <xf numFmtId="186" fontId="2" fillId="0" borderId="11" xfId="128" applyNumberFormat="1" applyFont="1" applyBorder="1" applyAlignment="1" applyProtection="1">
      <alignment horizontal="center"/>
      <protection/>
    </xf>
    <xf numFmtId="0" fontId="69" fillId="0" borderId="11" xfId="128" applyFont="1" applyBorder="1" applyAlignment="1" applyProtection="1">
      <alignment horizontal="center"/>
      <protection/>
    </xf>
    <xf numFmtId="0" fontId="9" fillId="0" borderId="0" xfId="128" applyFont="1" applyAlignment="1" applyProtection="1">
      <alignment horizontal="center"/>
      <protection/>
    </xf>
    <xf numFmtId="0" fontId="17" fillId="0" borderId="0" xfId="128" applyNumberFormat="1" applyFont="1" applyBorder="1" applyAlignment="1" applyProtection="1">
      <alignment horizontal="center"/>
      <protection/>
    </xf>
    <xf numFmtId="186" fontId="17" fillId="0" borderId="0" xfId="128" applyNumberFormat="1" applyFont="1" applyAlignment="1" applyProtection="1">
      <alignment horizontal="center"/>
      <protection/>
    </xf>
    <xf numFmtId="0" fontId="66" fillId="0" borderId="0" xfId="128" applyFont="1" applyProtection="1">
      <alignment/>
      <protection/>
    </xf>
    <xf numFmtId="186" fontId="67" fillId="0" borderId="0" xfId="128" applyNumberFormat="1" applyFont="1" applyProtection="1">
      <alignment/>
      <protection/>
    </xf>
    <xf numFmtId="0" fontId="17" fillId="0" borderId="0" xfId="128" applyFont="1" applyProtection="1">
      <alignment/>
      <protection/>
    </xf>
    <xf numFmtId="186" fontId="17" fillId="0" borderId="0" xfId="128" applyNumberFormat="1" applyFont="1" applyProtection="1">
      <alignment/>
      <protection/>
    </xf>
    <xf numFmtId="0" fontId="68" fillId="0" borderId="0" xfId="128" applyFont="1" applyProtection="1">
      <alignment/>
      <protection/>
    </xf>
    <xf numFmtId="173" fontId="66" fillId="0" borderId="0" xfId="128" applyNumberFormat="1" applyFont="1" applyBorder="1" applyProtection="1">
      <alignment/>
      <protection/>
    </xf>
    <xf numFmtId="173" fontId="66" fillId="0" borderId="0" xfId="128" applyNumberFormat="1" applyFont="1" applyProtection="1">
      <alignment/>
      <protection/>
    </xf>
    <xf numFmtId="173" fontId="66" fillId="0" borderId="0" xfId="128" applyNumberFormat="1" applyFont="1" applyFill="1" applyBorder="1" applyProtection="1">
      <alignment/>
      <protection/>
    </xf>
    <xf numFmtId="0" fontId="66" fillId="0" borderId="0" xfId="128" applyFont="1" applyFill="1" applyBorder="1" applyProtection="1">
      <alignment/>
      <protection/>
    </xf>
    <xf numFmtId="173" fontId="83" fillId="0" borderId="0" xfId="128" applyNumberFormat="1" applyFont="1" applyFill="1" applyBorder="1" applyProtection="1">
      <alignment/>
      <protection/>
    </xf>
    <xf numFmtId="173" fontId="3" fillId="0" borderId="0" xfId="128" applyNumberFormat="1" applyFont="1" applyProtection="1">
      <alignment/>
      <protection/>
    </xf>
    <xf numFmtId="173" fontId="70" fillId="0" borderId="0" xfId="128" applyNumberFormat="1" applyFont="1" applyProtection="1">
      <alignment/>
      <protection/>
    </xf>
    <xf numFmtId="186" fontId="3" fillId="0" borderId="0" xfId="128" applyNumberFormat="1" applyFont="1" applyProtection="1">
      <alignment/>
      <protection/>
    </xf>
    <xf numFmtId="173" fontId="70" fillId="0" borderId="0" xfId="73" applyNumberFormat="1" applyFont="1" applyAlignment="1" applyProtection="1">
      <alignment/>
      <protection/>
    </xf>
    <xf numFmtId="0" fontId="107" fillId="0" borderId="0" xfId="127" applyNumberFormat="1" applyFont="1" applyBorder="1" applyAlignment="1" applyProtection="1">
      <alignment/>
      <protection/>
    </xf>
    <xf numFmtId="0" fontId="92" fillId="0" borderId="0" xfId="128" applyFont="1" applyFill="1" applyBorder="1" applyProtection="1">
      <alignment/>
      <protection/>
    </xf>
    <xf numFmtId="0" fontId="92" fillId="0" borderId="0" xfId="128" applyFont="1" applyProtection="1">
      <alignment/>
      <protection/>
    </xf>
    <xf numFmtId="173" fontId="108" fillId="0" borderId="0" xfId="128" applyNumberFormat="1" applyFont="1" applyProtection="1">
      <alignment/>
      <protection/>
    </xf>
    <xf numFmtId="186" fontId="109" fillId="0" borderId="0" xfId="128" applyNumberFormat="1" applyFont="1" applyProtection="1">
      <alignment/>
      <protection/>
    </xf>
    <xf numFmtId="173" fontId="108" fillId="0" borderId="0" xfId="73" applyNumberFormat="1" applyFont="1" applyAlignment="1" applyProtection="1">
      <alignment/>
      <protection/>
    </xf>
    <xf numFmtId="173" fontId="92" fillId="0" borderId="0" xfId="128" applyNumberFormat="1" applyFont="1" applyProtection="1">
      <alignment/>
      <protection/>
    </xf>
    <xf numFmtId="0" fontId="66" fillId="0" borderId="0" xfId="128" applyFont="1" applyFill="1" applyProtection="1">
      <alignment/>
      <protection/>
    </xf>
    <xf numFmtId="0" fontId="17" fillId="0" borderId="0" xfId="125" applyFont="1" applyFill="1" applyAlignment="1" applyProtection="1">
      <alignment horizontal="center"/>
      <protection/>
    </xf>
    <xf numFmtId="0" fontId="17" fillId="0" borderId="0" xfId="125" applyFont="1" applyFill="1" applyAlignment="1" applyProtection="1">
      <alignment horizontal="left" indent="2"/>
      <protection/>
    </xf>
    <xf numFmtId="39" fontId="17" fillId="0" borderId="0" xfId="125" applyNumberFormat="1" applyFont="1" applyFill="1" applyProtection="1">
      <alignment/>
      <protection/>
    </xf>
    <xf numFmtId="173" fontId="66" fillId="0" borderId="0" xfId="128" applyNumberFormat="1" applyFont="1" applyFill="1" applyProtection="1">
      <alignment/>
      <protection/>
    </xf>
    <xf numFmtId="0" fontId="66" fillId="0" borderId="0" xfId="0" applyFont="1" applyAlignment="1" applyProtection="1">
      <alignment/>
      <protection/>
    </xf>
    <xf numFmtId="43" fontId="66" fillId="0" borderId="0" xfId="73" applyFont="1" applyAlignment="1" applyProtection="1">
      <alignment/>
      <protection/>
    </xf>
    <xf numFmtId="43" fontId="70" fillId="0" borderId="0" xfId="73" applyFont="1" applyAlignment="1" applyProtection="1">
      <alignment/>
      <protection/>
    </xf>
    <xf numFmtId="173" fontId="3" fillId="0" borderId="0" xfId="73" applyNumberFormat="1" applyFont="1" applyAlignment="1" applyProtection="1">
      <alignment/>
      <protection/>
    </xf>
    <xf numFmtId="0" fontId="17" fillId="0" borderId="0" xfId="125" applyFont="1" applyFill="1" applyAlignment="1" applyProtection="1">
      <alignment horizontal="center"/>
      <protection/>
    </xf>
    <xf numFmtId="173" fontId="66" fillId="0" borderId="14" xfId="73" applyNumberFormat="1" applyFont="1" applyBorder="1" applyAlignment="1" applyProtection="1">
      <alignment/>
      <protection/>
    </xf>
    <xf numFmtId="0" fontId="69" fillId="0" borderId="0" xfId="128" applyFont="1" applyAlignment="1" applyProtection="1">
      <alignment horizontal="center" wrapText="1"/>
      <protection/>
    </xf>
    <xf numFmtId="0" fontId="73" fillId="0" borderId="0" xfId="128" applyFont="1" applyAlignment="1" applyProtection="1">
      <alignment horizontal="center"/>
      <protection/>
    </xf>
    <xf numFmtId="0" fontId="17" fillId="0" borderId="0" xfId="128" applyNumberFormat="1" applyFont="1" applyFill="1" applyAlignment="1" applyProtection="1">
      <alignment horizontal="center"/>
      <protection/>
    </xf>
    <xf numFmtId="0" fontId="0" fillId="0" borderId="0" xfId="128" applyNumberFormat="1" applyFont="1" applyFill="1" applyProtection="1">
      <alignment/>
      <protection/>
    </xf>
    <xf numFmtId="0" fontId="92" fillId="0" borderId="0" xfId="128" applyFont="1" applyFill="1" applyProtection="1">
      <alignment/>
      <protection/>
    </xf>
    <xf numFmtId="41" fontId="92" fillId="0" borderId="0" xfId="128" applyNumberFormat="1" applyFont="1" applyFill="1" applyProtection="1">
      <alignment/>
      <protection/>
    </xf>
    <xf numFmtId="41" fontId="92" fillId="0" borderId="0" xfId="128" applyNumberFormat="1" applyFont="1" applyFill="1" applyBorder="1" applyProtection="1">
      <alignment/>
      <protection/>
    </xf>
    <xf numFmtId="41" fontId="66" fillId="0" borderId="0" xfId="128" applyNumberFormat="1" applyFont="1" applyFill="1" applyProtection="1">
      <alignment/>
      <protection/>
    </xf>
    <xf numFmtId="10" fontId="66" fillId="0" borderId="0" xfId="135" applyNumberFormat="1" applyFont="1" applyFill="1" applyAlignment="1" applyProtection="1">
      <alignment/>
      <protection/>
    </xf>
    <xf numFmtId="41" fontId="66" fillId="0" borderId="0" xfId="128" applyNumberFormat="1" applyFont="1" applyFill="1" applyBorder="1" applyProtection="1">
      <alignment/>
      <protection/>
    </xf>
    <xf numFmtId="164" fontId="66" fillId="0" borderId="0" xfId="135" applyNumberFormat="1" applyFont="1" applyFill="1" applyAlignment="1" applyProtection="1">
      <alignment/>
      <protection/>
    </xf>
    <xf numFmtId="188" fontId="0" fillId="0" borderId="0" xfId="135" applyNumberFormat="1" applyFont="1" applyFill="1" applyAlignment="1" applyProtection="1">
      <alignment/>
      <protection/>
    </xf>
    <xf numFmtId="41" fontId="79" fillId="28" borderId="0" xfId="128" applyNumberFormat="1" applyFont="1" applyFill="1" applyProtection="1">
      <alignment/>
      <protection/>
    </xf>
    <xf numFmtId="41" fontId="79" fillId="28" borderId="0" xfId="128" applyNumberFormat="1" applyFont="1" applyFill="1" applyBorder="1" applyProtection="1">
      <alignment/>
      <protection/>
    </xf>
    <xf numFmtId="9" fontId="0" fillId="0" borderId="0" xfId="135" applyFont="1" applyFill="1" applyAlignment="1" applyProtection="1">
      <alignment/>
      <protection/>
    </xf>
    <xf numFmtId="9" fontId="66" fillId="0" borderId="0" xfId="135" applyFont="1" applyFill="1" applyAlignment="1" applyProtection="1">
      <alignment/>
      <protection/>
    </xf>
    <xf numFmtId="0" fontId="78" fillId="0" borderId="0" xfId="128" applyFont="1" applyFill="1" applyProtection="1">
      <alignment/>
      <protection/>
    </xf>
    <xf numFmtId="10" fontId="66" fillId="0" borderId="11" xfId="135" applyNumberFormat="1" applyFont="1" applyFill="1" applyBorder="1" applyAlignment="1" applyProtection="1">
      <alignment/>
      <protection/>
    </xf>
    <xf numFmtId="173" fontId="66" fillId="0" borderId="0" xfId="73" applyNumberFormat="1" applyFont="1" applyFill="1" applyAlignment="1" applyProtection="1">
      <alignment/>
      <protection/>
    </xf>
    <xf numFmtId="173" fontId="66" fillId="0" borderId="13" xfId="73" applyNumberFormat="1" applyFont="1" applyFill="1" applyBorder="1" applyAlignment="1" applyProtection="1">
      <alignment/>
      <protection/>
    </xf>
    <xf numFmtId="41" fontId="66" fillId="0" borderId="18" xfId="128" applyNumberFormat="1" applyFont="1" applyFill="1" applyBorder="1" applyProtection="1">
      <alignment/>
      <protection/>
    </xf>
    <xf numFmtId="10" fontId="0" fillId="0" borderId="0" xfId="135" applyNumberFormat="1" applyFont="1" applyFill="1" applyAlignment="1" applyProtection="1">
      <alignment/>
      <protection/>
    </xf>
    <xf numFmtId="0" fontId="69" fillId="0" borderId="0" xfId="128" applyFont="1" applyFill="1" applyProtection="1">
      <alignment/>
      <protection/>
    </xf>
    <xf numFmtId="10" fontId="66" fillId="0" borderId="0" xfId="135" applyNumberFormat="1" applyFont="1" applyFill="1" applyBorder="1" applyAlignment="1" applyProtection="1">
      <alignment/>
      <protection/>
    </xf>
    <xf numFmtId="173" fontId="66" fillId="0" borderId="0" xfId="73" applyNumberFormat="1" applyFont="1" applyFill="1" applyBorder="1" applyAlignment="1" applyProtection="1">
      <alignment/>
      <protection/>
    </xf>
    <xf numFmtId="173" fontId="66" fillId="0" borderId="14" xfId="73" applyNumberFormat="1" applyFont="1" applyFill="1" applyBorder="1" applyAlignment="1" applyProtection="1">
      <alignment/>
      <protection/>
    </xf>
    <xf numFmtId="0" fontId="0" fillId="0" borderId="0" xfId="128" applyNumberFormat="1" applyFont="1" applyAlignment="1" applyProtection="1">
      <alignment horizontal="center"/>
      <protection/>
    </xf>
    <xf numFmtId="186" fontId="0" fillId="0" borderId="0" xfId="128" applyNumberFormat="1" applyFont="1" applyProtection="1">
      <alignment/>
      <protection/>
    </xf>
    <xf numFmtId="173" fontId="66" fillId="0" borderId="18" xfId="73" applyNumberFormat="1" applyFont="1" applyFill="1" applyBorder="1" applyAlignment="1" applyProtection="1">
      <alignment/>
      <protection/>
    </xf>
    <xf numFmtId="0" fontId="68" fillId="0" borderId="0" xfId="128" applyFont="1" applyAlignment="1" applyProtection="1">
      <alignment horizontal="center"/>
      <protection/>
    </xf>
    <xf numFmtId="10" fontId="72" fillId="25" borderId="11" xfId="135" applyNumberFormat="1" applyFont="1" applyFill="1" applyBorder="1" applyAlignment="1" applyProtection="1">
      <alignment/>
      <protection locked="0"/>
    </xf>
    <xf numFmtId="41" fontId="66" fillId="25" borderId="11" xfId="128" applyNumberFormat="1" applyFont="1" applyFill="1" applyBorder="1" applyProtection="1">
      <alignment/>
      <protection locked="0"/>
    </xf>
    <xf numFmtId="9" fontId="72" fillId="25" borderId="11" xfId="135" applyFont="1" applyFill="1" applyBorder="1" applyAlignment="1" applyProtection="1">
      <alignment/>
      <protection locked="0"/>
    </xf>
    <xf numFmtId="173" fontId="72" fillId="25" borderId="0" xfId="128" applyNumberFormat="1" applyFont="1" applyFill="1" applyBorder="1" applyProtection="1">
      <alignment/>
      <protection locked="0"/>
    </xf>
    <xf numFmtId="0" fontId="66" fillId="25" borderId="0" xfId="128" applyFont="1" applyFill="1" applyAlignment="1" applyProtection="1">
      <alignment horizontal="center"/>
      <protection locked="0"/>
    </xf>
    <xf numFmtId="173" fontId="0" fillId="0" borderId="0" xfId="73" applyNumberFormat="1" applyAlignment="1" applyProtection="1">
      <alignment/>
      <protection/>
    </xf>
    <xf numFmtId="0" fontId="11"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Alignment="1" applyProtection="1">
      <alignment horizontal="left"/>
      <protection/>
    </xf>
    <xf numFmtId="0" fontId="17" fillId="0" borderId="0" xfId="0" applyFont="1" applyFill="1" applyBorder="1" applyAlignment="1" applyProtection="1">
      <alignment horizontal="right"/>
      <protection/>
    </xf>
    <xf numFmtId="0" fontId="2" fillId="0" borderId="0" xfId="0" applyFont="1" applyFill="1" applyAlignment="1" applyProtection="1">
      <alignment/>
      <protection/>
    </xf>
    <xf numFmtId="0" fontId="61" fillId="0" borderId="0" xfId="0" applyFont="1" applyFill="1" applyAlignment="1" applyProtection="1">
      <alignment/>
      <protection/>
    </xf>
    <xf numFmtId="0" fontId="0" fillId="0" borderId="0" xfId="0" applyAlignment="1" applyProtection="1">
      <alignment wrapText="1"/>
      <protection/>
    </xf>
    <xf numFmtId="0" fontId="4" fillId="0" borderId="0" xfId="0" applyFont="1" applyAlignment="1" applyProtection="1">
      <alignment horizontal="left"/>
      <protection/>
    </xf>
    <xf numFmtId="0" fontId="0" fillId="0" borderId="0" xfId="127" applyNumberFormat="1" applyFont="1" applyBorder="1" applyAlignment="1" applyProtection="1">
      <alignment/>
      <protection/>
    </xf>
    <xf numFmtId="3" fontId="0" fillId="0" borderId="0" xfId="127" applyNumberFormat="1" applyFont="1" applyAlignment="1" applyProtection="1">
      <alignment/>
      <protection/>
    </xf>
    <xf numFmtId="10" fontId="0" fillId="0" borderId="0" xfId="135" applyNumberFormat="1" applyAlignment="1" applyProtection="1">
      <alignment horizontal="right"/>
      <protection/>
    </xf>
    <xf numFmtId="172" fontId="0" fillId="0" borderId="0" xfId="127" applyFont="1" applyAlignment="1" applyProtection="1">
      <alignment/>
      <protection/>
    </xf>
    <xf numFmtId="172" fontId="0" fillId="0" borderId="0" xfId="127" applyFont="1" applyBorder="1" applyAlignment="1" applyProtection="1">
      <alignment/>
      <protection/>
    </xf>
    <xf numFmtId="3" fontId="0" fillId="0" borderId="0" xfId="127" applyNumberFormat="1" applyFont="1" applyFill="1" applyAlignment="1" applyProtection="1">
      <alignment/>
      <protection/>
    </xf>
    <xf numFmtId="10" fontId="0" fillId="0" borderId="0" xfId="135" applyNumberFormat="1" applyFont="1" applyFill="1" applyAlignment="1" applyProtection="1">
      <alignment horizontal="right"/>
      <protection/>
    </xf>
    <xf numFmtId="3" fontId="9" fillId="0" borderId="0" xfId="127" applyNumberFormat="1" applyFont="1" applyAlignment="1" applyProtection="1">
      <alignment/>
      <protection/>
    </xf>
    <xf numFmtId="10" fontId="0" fillId="0" borderId="0" xfId="127" applyNumberFormat="1" applyFont="1" applyFill="1" applyAlignment="1" applyProtection="1">
      <alignment horizontal="right"/>
      <protection/>
    </xf>
    <xf numFmtId="3" fontId="12" fillId="0" borderId="0" xfId="127" applyNumberFormat="1" applyFont="1" applyAlignment="1" applyProtection="1">
      <alignment horizontal="center"/>
      <protection/>
    </xf>
    <xf numFmtId="10" fontId="12" fillId="0" borderId="0" xfId="127" applyNumberFormat="1" applyFont="1" applyFill="1" applyAlignment="1" applyProtection="1">
      <alignment horizontal="center"/>
      <protection/>
    </xf>
    <xf numFmtId="0" fontId="0" fillId="0" borderId="0" xfId="127" applyNumberFormat="1" applyFont="1" applyFill="1" applyBorder="1" applyAlignment="1" applyProtection="1">
      <alignment horizontal="right"/>
      <protection/>
    </xf>
    <xf numFmtId="10" fontId="0" fillId="0" borderId="0" xfId="0" applyNumberFormat="1" applyFill="1" applyAlignment="1" applyProtection="1">
      <alignment horizontal="center"/>
      <protection/>
    </xf>
    <xf numFmtId="10" fontId="0" fillId="0" borderId="0" xfId="0" applyNumberFormat="1" applyAlignment="1" applyProtection="1">
      <alignment horizontal="center"/>
      <protection/>
    </xf>
    <xf numFmtId="164" fontId="0" fillId="0" borderId="0" xfId="135" applyNumberFormat="1" applyFont="1" applyAlignment="1" applyProtection="1">
      <alignment/>
      <protection/>
    </xf>
    <xf numFmtId="166" fontId="0" fillId="0" borderId="0" xfId="127" applyNumberFormat="1" applyFont="1" applyAlignment="1" applyProtection="1">
      <alignment horizontal="center"/>
      <protection/>
    </xf>
    <xf numFmtId="166" fontId="0" fillId="0" borderId="0" xfId="127" applyNumberFormat="1" applyFont="1" applyBorder="1" applyAlignment="1" applyProtection="1">
      <alignment horizontal="center"/>
      <protection/>
    </xf>
    <xf numFmtId="41" fontId="0" fillId="0" borderId="0" xfId="127" applyNumberFormat="1" applyFont="1" applyAlignment="1" applyProtection="1">
      <alignment/>
      <protection/>
    </xf>
    <xf numFmtId="41" fontId="0" fillId="0" borderId="0" xfId="127" applyNumberFormat="1" applyFont="1" applyAlignment="1" applyProtection="1">
      <alignment horizontal="center"/>
      <protection/>
    </xf>
    <xf numFmtId="41" fontId="0" fillId="0" borderId="0" xfId="127" applyNumberFormat="1" applyFont="1" applyBorder="1" applyAlignment="1" applyProtection="1">
      <alignment horizontal="center"/>
      <protection/>
    </xf>
    <xf numFmtId="0" fontId="0" fillId="0" borderId="0" xfId="127" applyNumberFormat="1" applyFont="1" applyBorder="1" applyAlignment="1" applyProtection="1">
      <alignment horizontal="right"/>
      <protection/>
    </xf>
    <xf numFmtId="164" fontId="12" fillId="0" borderId="0" xfId="135" applyNumberFormat="1" applyFont="1" applyAlignment="1" applyProtection="1">
      <alignment/>
      <protection/>
    </xf>
    <xf numFmtId="3" fontId="0" fillId="0" borderId="0" xfId="127" applyNumberFormat="1" applyFont="1" applyAlignment="1" applyProtection="1">
      <alignment horizontal="right"/>
      <protection/>
    </xf>
    <xf numFmtId="172" fontId="0" fillId="0" borderId="19" xfId="127" applyFont="1" applyBorder="1" applyAlignment="1" applyProtection="1">
      <alignment/>
      <protection/>
    </xf>
    <xf numFmtId="0" fontId="0" fillId="0" borderId="0" xfId="127" applyNumberFormat="1" applyFont="1" applyBorder="1" applyAlignment="1" applyProtection="1">
      <alignment horizontal="center"/>
      <protection/>
    </xf>
    <xf numFmtId="172" fontId="0" fillId="0" borderId="0" xfId="127" applyFont="1" applyBorder="1" applyAlignment="1" applyProtection="1">
      <alignment/>
      <protection/>
    </xf>
    <xf numFmtId="3" fontId="0" fillId="0" borderId="20" xfId="127" applyNumberFormat="1" applyFont="1" applyBorder="1" applyAlignment="1" applyProtection="1">
      <alignment/>
      <protection/>
    </xf>
    <xf numFmtId="10" fontId="0" fillId="0" borderId="0" xfId="127" applyNumberFormat="1" applyFont="1" applyFill="1" applyAlignment="1" applyProtection="1">
      <alignment horizontal="left"/>
      <protection/>
    </xf>
    <xf numFmtId="41" fontId="0" fillId="0" borderId="0" xfId="127" applyNumberFormat="1" applyFont="1" applyBorder="1" applyAlignment="1" applyProtection="1">
      <alignment/>
      <protection/>
    </xf>
    <xf numFmtId="0" fontId="0" fillId="0" borderId="19" xfId="0" applyFont="1" applyBorder="1" applyAlignment="1" applyProtection="1">
      <alignment/>
      <protection/>
    </xf>
    <xf numFmtId="0" fontId="0" fillId="0" borderId="0" xfId="0" applyFont="1" applyBorder="1" applyAlignment="1" applyProtection="1">
      <alignment/>
      <protection/>
    </xf>
    <xf numFmtId="0" fontId="0" fillId="0" borderId="20" xfId="0" applyFont="1" applyBorder="1" applyAlignment="1" applyProtection="1">
      <alignment/>
      <protection/>
    </xf>
    <xf numFmtId="41" fontId="0" fillId="0" borderId="0" xfId="127" applyNumberFormat="1" applyFont="1" applyFill="1" applyAlignment="1" applyProtection="1">
      <alignment/>
      <protection/>
    </xf>
    <xf numFmtId="166" fontId="0" fillId="0" borderId="21" xfId="127" applyNumberFormat="1" applyFont="1" applyBorder="1" applyAlignment="1" applyProtection="1">
      <alignment horizontal="center"/>
      <protection/>
    </xf>
    <xf numFmtId="0" fontId="0" fillId="0" borderId="6" xfId="127" applyNumberFormat="1" applyFont="1" applyBorder="1" applyAlignment="1" applyProtection="1">
      <alignment horizontal="center"/>
      <protection/>
    </xf>
    <xf numFmtId="174" fontId="0" fillId="0" borderId="22" xfId="0" applyNumberFormat="1" applyFont="1" applyBorder="1" applyAlignment="1" applyProtection="1">
      <alignment/>
      <protection/>
    </xf>
    <xf numFmtId="41" fontId="0" fillId="0" borderId="0" xfId="127" applyNumberFormat="1" applyFont="1" applyBorder="1" applyAlignment="1" applyProtection="1">
      <alignment/>
      <protection/>
    </xf>
    <xf numFmtId="173" fontId="0" fillId="0" borderId="0" xfId="127" applyNumberFormat="1" applyFont="1" applyBorder="1" applyAlignment="1" applyProtection="1">
      <alignment horizontal="center"/>
      <protection/>
    </xf>
    <xf numFmtId="41" fontId="0" fillId="0" borderId="0" xfId="127" applyNumberFormat="1" applyFont="1" applyFill="1" applyAlignment="1" applyProtection="1">
      <alignment horizontal="left"/>
      <protection/>
    </xf>
    <xf numFmtId="41" fontId="0" fillId="0" borderId="0" xfId="127" applyNumberFormat="1" applyFont="1" applyFill="1" applyBorder="1" applyAlignment="1" applyProtection="1">
      <alignment horizontal="right"/>
      <protection/>
    </xf>
    <xf numFmtId="167" fontId="0" fillId="0" borderId="0" xfId="127" applyNumberFormat="1" applyFont="1" applyAlignment="1" applyProtection="1">
      <alignment/>
      <protection/>
    </xf>
    <xf numFmtId="164" fontId="0" fillId="0" borderId="0" xfId="127" applyNumberFormat="1" applyFont="1" applyFill="1" applyBorder="1" applyAlignment="1" applyProtection="1">
      <alignment horizontal="left"/>
      <protection/>
    </xf>
    <xf numFmtId="164" fontId="0" fillId="0" borderId="0" xfId="127" applyNumberFormat="1" applyFont="1" applyBorder="1" applyAlignment="1" applyProtection="1">
      <alignment horizontal="left"/>
      <protection/>
    </xf>
    <xf numFmtId="3" fontId="0" fillId="0" borderId="0" xfId="127" applyNumberFormat="1" applyFont="1" applyAlignment="1" applyProtection="1">
      <alignment vertical="center" wrapText="1"/>
      <protection/>
    </xf>
    <xf numFmtId="41" fontId="0" fillId="0" borderId="0" xfId="127" applyNumberFormat="1" applyFont="1" applyBorder="1" applyAlignment="1" applyProtection="1">
      <alignment vertical="center"/>
      <protection/>
    </xf>
    <xf numFmtId="41" fontId="0" fillId="0" borderId="0" xfId="127" applyNumberFormat="1" applyFont="1" applyBorder="1" applyAlignment="1" applyProtection="1">
      <alignment horizontal="center" vertical="center"/>
      <protection/>
    </xf>
    <xf numFmtId="41" fontId="0" fillId="0" borderId="0" xfId="127" applyNumberFormat="1" applyFont="1" applyAlignment="1" applyProtection="1">
      <alignment horizontal="right"/>
      <protection/>
    </xf>
    <xf numFmtId="10" fontId="0" fillId="0" borderId="0" xfId="0" applyNumberFormat="1" applyFont="1" applyAlignment="1" applyProtection="1">
      <alignment/>
      <protection/>
    </xf>
    <xf numFmtId="173" fontId="0" fillId="0" borderId="0" xfId="73" applyNumberFormat="1" applyFont="1" applyAlignment="1" applyProtection="1">
      <alignment/>
      <protection/>
    </xf>
    <xf numFmtId="41" fontId="0" fillId="0" borderId="0" xfId="0" applyNumberFormat="1" applyFont="1" applyAlignment="1" applyProtection="1">
      <alignment/>
      <protection/>
    </xf>
    <xf numFmtId="41" fontId="0" fillId="0" borderId="0" xfId="127" applyNumberFormat="1" applyFont="1" applyFill="1" applyBorder="1" applyAlignment="1" applyProtection="1">
      <alignment/>
      <protection/>
    </xf>
    <xf numFmtId="0" fontId="0" fillId="0" borderId="0" xfId="127" applyNumberFormat="1" applyFont="1" applyFill="1" applyBorder="1" applyAlignment="1" applyProtection="1">
      <alignment/>
      <protection/>
    </xf>
    <xf numFmtId="3" fontId="0" fillId="0" borderId="0" xfId="127" applyNumberFormat="1" applyFont="1" applyFill="1" applyBorder="1" applyAlignment="1" applyProtection="1">
      <alignment/>
      <protection/>
    </xf>
    <xf numFmtId="0" fontId="0" fillId="26" borderId="0" xfId="127" applyNumberFormat="1" applyFont="1" applyFill="1" applyBorder="1" applyAlignment="1" applyProtection="1">
      <alignment/>
      <protection/>
    </xf>
    <xf numFmtId="41" fontId="0" fillId="0" borderId="0" xfId="127" applyNumberFormat="1" applyFont="1" applyFill="1" applyBorder="1" applyAlignment="1" applyProtection="1">
      <alignment horizontal="center"/>
      <protection/>
    </xf>
    <xf numFmtId="0" fontId="0" fillId="0" borderId="0" xfId="127" applyNumberFormat="1" applyFont="1" applyFill="1" applyBorder="1" applyProtection="1">
      <alignment/>
      <protection/>
    </xf>
    <xf numFmtId="41" fontId="12" fillId="0" borderId="0" xfId="127" applyNumberFormat="1" applyFont="1" applyFill="1" applyBorder="1" applyAlignment="1" applyProtection="1">
      <alignment/>
      <protection/>
    </xf>
    <xf numFmtId="3" fontId="0" fillId="0" borderId="0" xfId="127" applyNumberFormat="1" applyFont="1" applyFill="1" applyBorder="1" applyAlignment="1" applyProtection="1">
      <alignment horizontal="center"/>
      <protection/>
    </xf>
    <xf numFmtId="0" fontId="0" fillId="26" borderId="0" xfId="0" applyFont="1" applyFill="1" applyBorder="1" applyAlignment="1" applyProtection="1">
      <alignment/>
      <protection/>
    </xf>
    <xf numFmtId="0" fontId="0" fillId="0" borderId="0" xfId="127" applyNumberFormat="1" applyFont="1" applyFill="1" applyBorder="1" applyAlignment="1" applyProtection="1">
      <alignment horizontal="center"/>
      <protection/>
    </xf>
    <xf numFmtId="10" fontId="0" fillId="0" borderId="0" xfId="127" applyNumberFormat="1" applyFont="1" applyFill="1" applyBorder="1" applyAlignment="1" applyProtection="1">
      <alignment/>
      <protection/>
    </xf>
    <xf numFmtId="169" fontId="0" fillId="0" borderId="0" xfId="127" applyNumberFormat="1" applyFont="1" applyFill="1" applyBorder="1" applyAlignment="1" applyProtection="1">
      <alignment/>
      <protection/>
    </xf>
    <xf numFmtId="172" fontId="0" fillId="0" borderId="0" xfId="127" applyFont="1" applyFill="1" applyBorder="1" applyAlignment="1" applyProtection="1">
      <alignment/>
      <protection/>
    </xf>
    <xf numFmtId="169" fontId="9" fillId="0" borderId="0" xfId="127" applyNumberFormat="1"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41" fontId="0" fillId="0" borderId="0" xfId="0" applyNumberFormat="1" applyFont="1" applyFill="1" applyBorder="1" applyAlignment="1" applyProtection="1">
      <alignment/>
      <protection/>
    </xf>
    <xf numFmtId="41" fontId="12" fillId="0" borderId="0" xfId="0" applyNumberFormat="1" applyFont="1" applyAlignment="1" applyProtection="1">
      <alignment/>
      <protection/>
    </xf>
    <xf numFmtId="4" fontId="0" fillId="0" borderId="0" xfId="127" applyNumberFormat="1" applyFont="1" applyFill="1" applyBorder="1" applyAlignment="1" applyProtection="1">
      <alignment/>
      <protection/>
    </xf>
    <xf numFmtId="10" fontId="12" fillId="0" borderId="0" xfId="0" applyNumberFormat="1" applyFont="1" applyAlignment="1" applyProtection="1">
      <alignment/>
      <protection/>
    </xf>
    <xf numFmtId="173" fontId="0" fillId="0" borderId="0" xfId="73" applyNumberFormat="1" applyFont="1" applyFill="1" applyAlignment="1" applyProtection="1">
      <alignment/>
      <protection/>
    </xf>
    <xf numFmtId="173" fontId="0" fillId="0" borderId="11" xfId="73" applyNumberFormat="1" applyFont="1" applyBorder="1" applyAlignment="1" applyProtection="1">
      <alignment/>
      <protection/>
    </xf>
    <xf numFmtId="173" fontId="0" fillId="0" borderId="0" xfId="73" applyNumberFormat="1" applyFont="1" applyBorder="1" applyAlignment="1" applyProtection="1">
      <alignment/>
      <protection/>
    </xf>
    <xf numFmtId="10" fontId="0" fillId="0" borderId="0" xfId="0" applyNumberFormat="1" applyFont="1" applyFill="1" applyAlignment="1" applyProtection="1">
      <alignment/>
      <protection/>
    </xf>
    <xf numFmtId="43" fontId="0" fillId="0" borderId="0" xfId="73" applyFont="1" applyAlignment="1" applyProtection="1">
      <alignment/>
      <protection/>
    </xf>
    <xf numFmtId="43" fontId="0" fillId="0" borderId="0" xfId="73" applyFont="1" applyFill="1" applyAlignment="1" applyProtection="1">
      <alignment/>
      <protection/>
    </xf>
    <xf numFmtId="173" fontId="0" fillId="0" borderId="0" xfId="0" applyNumberFormat="1" applyFont="1" applyFill="1" applyAlignment="1" applyProtection="1">
      <alignment/>
      <protection/>
    </xf>
    <xf numFmtId="173" fontId="0" fillId="0" borderId="0" xfId="0" applyNumberFormat="1" applyFont="1" applyAlignment="1" applyProtection="1">
      <alignment/>
      <protection/>
    </xf>
    <xf numFmtId="0" fontId="63" fillId="0" borderId="0" xfId="0" applyFont="1" applyFill="1" applyAlignment="1" applyProtection="1">
      <alignment/>
      <protection/>
    </xf>
    <xf numFmtId="173" fontId="0" fillId="0" borderId="0" xfId="0" applyNumberFormat="1" applyFont="1" applyBorder="1" applyAlignment="1" applyProtection="1">
      <alignment/>
      <protection/>
    </xf>
    <xf numFmtId="0" fontId="11" fillId="0" borderId="0" xfId="0" applyFont="1" applyAlignment="1" applyProtection="1">
      <alignment/>
      <protection/>
    </xf>
    <xf numFmtId="0" fontId="17" fillId="0" borderId="0" xfId="0" applyFont="1" applyAlignment="1" applyProtection="1">
      <alignment horizontal="right"/>
      <protection/>
    </xf>
    <xf numFmtId="0" fontId="4" fillId="0" borderId="0" xfId="0" applyFont="1" applyFill="1" applyAlignment="1" applyProtection="1">
      <alignment/>
      <protection/>
    </xf>
    <xf numFmtId="0" fontId="9" fillId="0" borderId="23" xfId="0" applyFont="1" applyBorder="1" applyAlignment="1" applyProtection="1">
      <alignment/>
      <protection/>
    </xf>
    <xf numFmtId="0" fontId="9" fillId="0" borderId="15" xfId="0" applyFont="1" applyBorder="1" applyAlignment="1" applyProtection="1">
      <alignment/>
      <protection/>
    </xf>
    <xf numFmtId="0" fontId="0" fillId="0" borderId="15" xfId="0" applyFont="1" applyBorder="1" applyAlignment="1" applyProtection="1">
      <alignment/>
      <protection/>
    </xf>
    <xf numFmtId="173" fontId="9" fillId="0" borderId="24" xfId="73" applyNumberFormat="1" applyFont="1" applyBorder="1" applyAlignment="1" applyProtection="1">
      <alignment/>
      <protection/>
    </xf>
    <xf numFmtId="0" fontId="3" fillId="0" borderId="0" xfId="73" applyNumberFormat="1" applyFont="1" applyFill="1" applyAlignment="1" applyProtection="1">
      <alignment horizontal="left"/>
      <protection/>
    </xf>
    <xf numFmtId="0" fontId="3" fillId="0" borderId="0" xfId="73" applyNumberFormat="1" applyFont="1" applyFill="1" applyBorder="1" applyAlignment="1" applyProtection="1">
      <alignment horizontal="left"/>
      <protection/>
    </xf>
    <xf numFmtId="0" fontId="9" fillId="0" borderId="19" xfId="0" applyFont="1" applyBorder="1" applyAlignment="1" applyProtection="1">
      <alignment/>
      <protection/>
    </xf>
    <xf numFmtId="0" fontId="4" fillId="0" borderId="0" xfId="73" applyNumberFormat="1" applyFont="1" applyFill="1" applyBorder="1" applyAlignment="1" applyProtection="1">
      <alignment horizontal="left"/>
      <protection/>
    </xf>
    <xf numFmtId="173" fontId="9" fillId="0" borderId="25" xfId="73" applyNumberFormat="1" applyFont="1" applyBorder="1" applyAlignment="1" applyProtection="1">
      <alignment/>
      <protection/>
    </xf>
    <xf numFmtId="0" fontId="9" fillId="0" borderId="0" xfId="0" applyFont="1" applyFill="1" applyAlignment="1" applyProtection="1">
      <alignment/>
      <protection/>
    </xf>
    <xf numFmtId="173" fontId="0" fillId="0" borderId="6" xfId="73" applyNumberFormat="1" applyFont="1" applyBorder="1" applyAlignment="1" applyProtection="1">
      <alignment/>
      <protection/>
    </xf>
    <xf numFmtId="173" fontId="0" fillId="0" borderId="22" xfId="73" applyNumberFormat="1" applyFont="1" applyBorder="1" applyAlignment="1" applyProtection="1">
      <alignment/>
      <protection/>
    </xf>
    <xf numFmtId="0" fontId="7" fillId="0" borderId="0" xfId="0" applyFont="1" applyFill="1" applyAlignment="1" applyProtection="1">
      <alignment/>
      <protection/>
    </xf>
    <xf numFmtId="173" fontId="20" fillId="0" borderId="0" xfId="0" applyNumberFormat="1" applyFont="1" applyAlignment="1" applyProtection="1">
      <alignment horizontal="left"/>
      <protection/>
    </xf>
    <xf numFmtId="0" fontId="0" fillId="0" borderId="0" xfId="0" applyFont="1" applyFill="1" applyAlignment="1" applyProtection="1">
      <alignment wrapText="1"/>
      <protection/>
    </xf>
    <xf numFmtId="0" fontId="7"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wrapText="1"/>
      <protection/>
    </xf>
    <xf numFmtId="0" fontId="0" fillId="0" borderId="26" xfId="0" applyFont="1" applyFill="1" applyBorder="1" applyAlignment="1" applyProtection="1">
      <alignment horizontal="center"/>
      <protection/>
    </xf>
    <xf numFmtId="0" fontId="0" fillId="0" borderId="27" xfId="0" applyBorder="1" applyAlignment="1" applyProtection="1">
      <alignment/>
      <protection/>
    </xf>
    <xf numFmtId="0" fontId="0" fillId="0" borderId="28" xfId="0" applyBorder="1" applyAlignment="1" applyProtection="1">
      <alignment/>
      <protection/>
    </xf>
    <xf numFmtId="0" fontId="0" fillId="0" borderId="0" xfId="0" applyFill="1" applyBorder="1" applyAlignment="1" applyProtection="1">
      <alignment/>
      <protection/>
    </xf>
    <xf numFmtId="0" fontId="0" fillId="0" borderId="0" xfId="0" applyFont="1" applyBorder="1" applyAlignment="1" applyProtection="1">
      <alignment/>
      <protection/>
    </xf>
    <xf numFmtId="0" fontId="0" fillId="0" borderId="19" xfId="0" applyFont="1" applyFill="1" applyBorder="1" applyAlignment="1" applyProtection="1">
      <alignment/>
      <protection/>
    </xf>
    <xf numFmtId="0" fontId="0" fillId="0" borderId="0" xfId="0" applyFont="1" applyBorder="1" applyAlignment="1" applyProtection="1">
      <alignment horizontal="center"/>
      <protection/>
    </xf>
    <xf numFmtId="0" fontId="9" fillId="0" borderId="24" xfId="0" applyFont="1" applyFill="1" applyBorder="1" applyAlignment="1" applyProtection="1">
      <alignment horizontal="center"/>
      <protection/>
    </xf>
    <xf numFmtId="173" fontId="0" fillId="0" borderId="0" xfId="0" applyNumberFormat="1" applyFont="1" applyFill="1" applyBorder="1" applyAlignment="1" applyProtection="1">
      <alignment horizontal="right"/>
      <protection/>
    </xf>
    <xf numFmtId="10" fontId="0" fillId="0" borderId="20" xfId="0" applyNumberFormat="1" applyFont="1" applyBorder="1" applyAlignment="1" applyProtection="1">
      <alignment/>
      <protection/>
    </xf>
    <xf numFmtId="10" fontId="0" fillId="0" borderId="0" xfId="0" applyNumberFormat="1" applyFont="1" applyFill="1" applyBorder="1" applyAlignment="1" applyProtection="1">
      <alignment/>
      <protection/>
    </xf>
    <xf numFmtId="173" fontId="0" fillId="0" borderId="20" xfId="0" applyNumberFormat="1" applyFont="1" applyFill="1" applyBorder="1" applyAlignment="1" applyProtection="1">
      <alignment horizontal="right"/>
      <protection/>
    </xf>
    <xf numFmtId="10" fontId="0" fillId="0" borderId="0" xfId="0" applyNumberFormat="1" applyFont="1" applyBorder="1" applyAlignment="1" applyProtection="1">
      <alignment/>
      <protection/>
    </xf>
    <xf numFmtId="0" fontId="0" fillId="0" borderId="21" xfId="0" applyFont="1" applyBorder="1" applyAlignment="1" applyProtection="1">
      <alignment/>
      <protection/>
    </xf>
    <xf numFmtId="0" fontId="0" fillId="0" borderId="6" xfId="0" applyFont="1" applyBorder="1" applyAlignment="1" applyProtection="1">
      <alignment horizontal="center"/>
      <protection/>
    </xf>
    <xf numFmtId="0" fontId="0" fillId="0" borderId="6" xfId="0" applyBorder="1" applyAlignment="1" applyProtection="1">
      <alignment/>
      <protection/>
    </xf>
    <xf numFmtId="0" fontId="0" fillId="0" borderId="0" xfId="0" applyFill="1" applyAlignment="1" applyProtection="1">
      <alignment wrapText="1"/>
      <protection/>
    </xf>
    <xf numFmtId="0" fontId="9" fillId="0" borderId="29" xfId="0" applyFont="1" applyBorder="1" applyAlignment="1" applyProtection="1">
      <alignment horizontal="center" wrapText="1"/>
      <protection/>
    </xf>
    <xf numFmtId="173" fontId="9" fillId="0" borderId="0" xfId="73" applyNumberFormat="1" applyFont="1" applyBorder="1" applyAlignment="1" applyProtection="1">
      <alignment horizontal="center" wrapText="1"/>
      <protection/>
    </xf>
    <xf numFmtId="173" fontId="9" fillId="0" borderId="29" xfId="73" applyNumberFormat="1" applyFont="1" applyBorder="1" applyAlignment="1" applyProtection="1">
      <alignment horizontal="center" wrapText="1"/>
      <protection/>
    </xf>
    <xf numFmtId="173" fontId="9" fillId="0" borderId="24" xfId="73" applyNumberFormat="1" applyFont="1" applyBorder="1" applyAlignment="1" applyProtection="1">
      <alignment horizontal="center" wrapText="1"/>
      <protection/>
    </xf>
    <xf numFmtId="0" fontId="9" fillId="0" borderId="30" xfId="0" applyFont="1" applyBorder="1" applyAlignment="1" applyProtection="1">
      <alignment horizontal="center" wrapText="1"/>
      <protection/>
    </xf>
    <xf numFmtId="173" fontId="9" fillId="21" borderId="29" xfId="73" applyNumberFormat="1" applyFont="1" applyFill="1" applyBorder="1" applyAlignment="1" applyProtection="1">
      <alignment horizontal="center" wrapText="1"/>
      <protection/>
    </xf>
    <xf numFmtId="0" fontId="9" fillId="0" borderId="0" xfId="0" applyFont="1" applyBorder="1" applyAlignment="1" applyProtection="1">
      <alignment horizontal="center" wrapText="1"/>
      <protection/>
    </xf>
    <xf numFmtId="0" fontId="9" fillId="0" borderId="31" xfId="0" applyFont="1" applyBorder="1" applyAlignment="1" applyProtection="1">
      <alignment horizontal="center"/>
      <protection/>
    </xf>
    <xf numFmtId="0" fontId="9" fillId="0" borderId="6" xfId="0" applyFont="1" applyBorder="1" applyAlignment="1" applyProtection="1">
      <alignment horizontal="center"/>
      <protection/>
    </xf>
    <xf numFmtId="173" fontId="9" fillId="0" borderId="31" xfId="73" applyNumberFormat="1" applyFont="1" applyBorder="1" applyAlignment="1" applyProtection="1">
      <alignment horizontal="center"/>
      <protection/>
    </xf>
    <xf numFmtId="173" fontId="9" fillId="0" borderId="22" xfId="73" applyNumberFormat="1" applyFont="1" applyBorder="1" applyAlignment="1" applyProtection="1">
      <alignment horizontal="center"/>
      <protection/>
    </xf>
    <xf numFmtId="0" fontId="9" fillId="0" borderId="31" xfId="0" applyFont="1" applyFill="1" applyBorder="1" applyAlignment="1" applyProtection="1">
      <alignment horizontal="center"/>
      <protection/>
    </xf>
    <xf numFmtId="0" fontId="9" fillId="0" borderId="30" xfId="0" applyFont="1" applyFill="1" applyBorder="1" applyAlignment="1" applyProtection="1">
      <alignment horizontal="center"/>
      <protection/>
    </xf>
    <xf numFmtId="173" fontId="9" fillId="21" borderId="31" xfId="73" applyNumberFormat="1" applyFont="1" applyFill="1" applyBorder="1" applyAlignment="1" applyProtection="1">
      <alignment horizontal="center"/>
      <protection/>
    </xf>
    <xf numFmtId="0" fontId="0" fillId="0" borderId="30" xfId="0" applyNumberFormat="1" applyFont="1" applyBorder="1" applyAlignment="1" applyProtection="1">
      <alignment horizontal="center"/>
      <protection/>
    </xf>
    <xf numFmtId="173" fontId="0" fillId="0" borderId="30" xfId="0" applyNumberFormat="1" applyFont="1" applyBorder="1" applyAlignment="1" applyProtection="1">
      <alignment/>
      <protection/>
    </xf>
    <xf numFmtId="173" fontId="0" fillId="0" borderId="30" xfId="73" applyNumberFormat="1" applyFont="1" applyFill="1" applyBorder="1" applyAlignment="1" applyProtection="1">
      <alignment/>
      <protection/>
    </xf>
    <xf numFmtId="173" fontId="0" fillId="0" borderId="20" xfId="73" applyNumberFormat="1" applyFont="1" applyFill="1" applyBorder="1" applyAlignment="1" applyProtection="1">
      <alignment/>
      <protection/>
    </xf>
    <xf numFmtId="174" fontId="0" fillId="0" borderId="30" xfId="0" applyNumberFormat="1" applyFont="1" applyBorder="1" applyAlignment="1" applyProtection="1">
      <alignment/>
      <protection/>
    </xf>
    <xf numFmtId="174" fontId="0" fillId="21" borderId="29" xfId="0" applyNumberFormat="1" applyFont="1" applyFill="1" applyBorder="1" applyAlignment="1" applyProtection="1">
      <alignment/>
      <protection/>
    </xf>
    <xf numFmtId="174" fontId="0" fillId="0" borderId="0" xfId="0" applyNumberFormat="1" applyFont="1" applyBorder="1" applyAlignment="1" applyProtection="1">
      <alignment/>
      <protection/>
    </xf>
    <xf numFmtId="173" fontId="0" fillId="0" borderId="30" xfId="73" applyNumberFormat="1" applyFont="1" applyBorder="1" applyAlignment="1" applyProtection="1">
      <alignment/>
      <protection/>
    </xf>
    <xf numFmtId="173" fontId="0" fillId="0" borderId="20" xfId="73" applyNumberFormat="1" applyFont="1" applyBorder="1" applyAlignment="1" applyProtection="1">
      <alignment/>
      <protection/>
    </xf>
    <xf numFmtId="174" fontId="0" fillId="21" borderId="30" xfId="0" applyNumberFormat="1" applyFont="1" applyFill="1" applyBorder="1" applyAlignment="1" applyProtection="1">
      <alignment/>
      <protection/>
    </xf>
    <xf numFmtId="174" fontId="0" fillId="21" borderId="30" xfId="0" applyNumberFormat="1" applyFont="1" applyFill="1" applyBorder="1" applyAlignment="1" applyProtection="1">
      <alignment wrapText="1"/>
      <protection/>
    </xf>
    <xf numFmtId="0" fontId="0" fillId="0" borderId="31" xfId="0" applyNumberFormat="1" applyFont="1" applyBorder="1" applyAlignment="1" applyProtection="1">
      <alignment horizontal="center"/>
      <protection/>
    </xf>
    <xf numFmtId="173" fontId="0" fillId="0" borderId="6" xfId="0" applyNumberFormat="1" applyFont="1" applyBorder="1" applyAlignment="1" applyProtection="1">
      <alignment/>
      <protection/>
    </xf>
    <xf numFmtId="173" fontId="0" fillId="0" borderId="31" xfId="0" applyNumberFormat="1" applyFont="1" applyBorder="1" applyAlignment="1" applyProtection="1">
      <alignment/>
      <protection/>
    </xf>
    <xf numFmtId="173" fontId="0" fillId="0" borderId="31" xfId="73" applyNumberFormat="1" applyFont="1" applyBorder="1" applyAlignment="1" applyProtection="1">
      <alignment/>
      <protection/>
    </xf>
    <xf numFmtId="174" fontId="0" fillId="0" borderId="31" xfId="0" applyNumberFormat="1" applyFont="1" applyBorder="1" applyAlignment="1" applyProtection="1">
      <alignment/>
      <protection/>
    </xf>
    <xf numFmtId="174" fontId="0" fillId="21" borderId="31" xfId="0" applyNumberFormat="1" applyFont="1" applyFill="1" applyBorder="1" applyAlignment="1" applyProtection="1">
      <alignment/>
      <protection/>
    </xf>
    <xf numFmtId="0" fontId="9" fillId="0" borderId="0" xfId="0" applyFont="1" applyFill="1" applyAlignment="1" applyProtection="1">
      <alignment/>
      <protection/>
    </xf>
    <xf numFmtId="0" fontId="8" fillId="25" borderId="0" xfId="73" applyNumberFormat="1" applyFont="1" applyFill="1" applyAlignment="1" applyProtection="1">
      <alignment/>
      <protection locked="0"/>
    </xf>
    <xf numFmtId="0" fontId="18" fillId="25" borderId="0" xfId="73" applyNumberFormat="1" applyFont="1" applyFill="1" applyAlignment="1" applyProtection="1">
      <alignment horizontal="left"/>
      <protection locked="0"/>
    </xf>
    <xf numFmtId="0" fontId="64" fillId="25" borderId="0" xfId="0" applyFont="1" applyFill="1" applyAlignment="1" applyProtection="1">
      <alignment horizontal="left"/>
      <protection locked="0"/>
    </xf>
    <xf numFmtId="0" fontId="8" fillId="25" borderId="22" xfId="0" applyFont="1" applyFill="1" applyBorder="1" applyAlignment="1" applyProtection="1">
      <alignment horizontal="right"/>
      <protection locked="0"/>
    </xf>
    <xf numFmtId="173" fontId="127" fillId="25" borderId="20" xfId="73" applyNumberFormat="1" applyFont="1" applyFill="1" applyBorder="1" applyAlignment="1" applyProtection="1">
      <alignment horizontal="right"/>
      <protection locked="0"/>
    </xf>
    <xf numFmtId="0" fontId="127" fillId="25" borderId="20" xfId="0" applyFont="1" applyFill="1" applyBorder="1" applyAlignment="1" applyProtection="1">
      <alignment horizontal="right"/>
      <protection locked="0"/>
    </xf>
    <xf numFmtId="173" fontId="8" fillId="25" borderId="20" xfId="73" applyNumberFormat="1" applyFont="1" applyFill="1" applyBorder="1" applyAlignment="1" applyProtection="1">
      <alignment horizontal="right"/>
      <protection locked="0"/>
    </xf>
    <xf numFmtId="173" fontId="9" fillId="0" borderId="21" xfId="73" applyNumberFormat="1" applyFont="1" applyBorder="1" applyAlignment="1" applyProtection="1">
      <alignment/>
      <protection locked="0"/>
    </xf>
    <xf numFmtId="174" fontId="8" fillId="25" borderId="29" xfId="0" applyNumberFormat="1" applyFont="1" applyFill="1" applyBorder="1" applyAlignment="1" applyProtection="1">
      <alignment/>
      <protection locked="0"/>
    </xf>
    <xf numFmtId="174" fontId="127" fillId="25" borderId="30" xfId="0" applyNumberFormat="1" applyFont="1" applyFill="1" applyBorder="1" applyAlignment="1" applyProtection="1">
      <alignment/>
      <protection locked="0"/>
    </xf>
    <xf numFmtId="174" fontId="8" fillId="25" borderId="30" xfId="0" applyNumberFormat="1" applyFont="1" applyFill="1" applyBorder="1" applyAlignment="1" applyProtection="1">
      <alignment/>
      <protection locked="0"/>
    </xf>
    <xf numFmtId="174" fontId="8" fillId="25" borderId="31" xfId="0" applyNumberFormat="1" applyFont="1" applyFill="1" applyBorder="1" applyAlignment="1" applyProtection="1">
      <alignment/>
      <protection locked="0"/>
    </xf>
    <xf numFmtId="0" fontId="2" fillId="0" borderId="0" xfId="0" applyFont="1" applyAlignment="1" applyProtection="1">
      <alignment/>
      <protection/>
    </xf>
    <xf numFmtId="10" fontId="0" fillId="0" borderId="0" xfId="135" applyNumberFormat="1" applyFont="1" applyAlignment="1" applyProtection="1">
      <alignment horizontal="right"/>
      <protection/>
    </xf>
    <xf numFmtId="172" fontId="0" fillId="0" borderId="23" xfId="127" applyFont="1" applyBorder="1" applyAlignment="1" applyProtection="1">
      <alignment/>
      <protection/>
    </xf>
    <xf numFmtId="172" fontId="0" fillId="0" borderId="15" xfId="127" applyFont="1" applyBorder="1" applyAlignment="1" applyProtection="1">
      <alignment/>
      <protection/>
    </xf>
    <xf numFmtId="3" fontId="0" fillId="0" borderId="24" xfId="127" applyNumberFormat="1" applyFont="1" applyBorder="1" applyAlignment="1" applyProtection="1">
      <alignment/>
      <protection/>
    </xf>
    <xf numFmtId="172" fontId="0" fillId="0" borderId="19" xfId="127" applyFont="1" applyBorder="1" applyAlignment="1" applyProtection="1">
      <alignment/>
      <protection/>
    </xf>
    <xf numFmtId="3" fontId="0" fillId="0" borderId="20" xfId="127" applyNumberFormat="1" applyFont="1" applyBorder="1" applyAlignment="1" applyProtection="1">
      <alignment/>
      <protection/>
    </xf>
    <xf numFmtId="0" fontId="0" fillId="0" borderId="0" xfId="127" applyNumberFormat="1" applyFont="1" applyBorder="1" applyAlignment="1" applyProtection="1" quotePrefix="1">
      <alignment horizontal="center"/>
      <protection/>
    </xf>
    <xf numFmtId="0" fontId="0" fillId="0" borderId="20" xfId="0" applyFont="1" applyBorder="1" applyAlignment="1" applyProtection="1">
      <alignment/>
      <protection/>
    </xf>
    <xf numFmtId="10" fontId="0" fillId="0" borderId="0" xfId="0" applyNumberFormat="1" applyFont="1" applyFill="1" applyAlignment="1" applyProtection="1">
      <alignment horizontal="center"/>
      <protection/>
    </xf>
    <xf numFmtId="0" fontId="0" fillId="0" borderId="19" xfId="0" applyFont="1" applyBorder="1" applyAlignment="1" applyProtection="1">
      <alignment/>
      <protection/>
    </xf>
    <xf numFmtId="174" fontId="0" fillId="0" borderId="20" xfId="0" applyNumberFormat="1" applyFont="1" applyBorder="1" applyAlignment="1" applyProtection="1">
      <alignment/>
      <protection/>
    </xf>
    <xf numFmtId="174" fontId="0" fillId="0" borderId="22" xfId="0" applyNumberFormat="1" applyFont="1" applyBorder="1" applyAlignment="1" applyProtection="1">
      <alignment/>
      <protection/>
    </xf>
    <xf numFmtId="173" fontId="0" fillId="0" borderId="24" xfId="0" applyNumberFormat="1" applyFont="1" applyBorder="1" applyAlignment="1" applyProtection="1">
      <alignment/>
      <protection/>
    </xf>
    <xf numFmtId="166" fontId="0" fillId="0" borderId="21" xfId="127" applyNumberFormat="1" applyFont="1" applyBorder="1" applyAlignment="1" applyProtection="1">
      <alignment horizontal="center"/>
      <protection/>
    </xf>
    <xf numFmtId="0" fontId="0" fillId="0" borderId="6" xfId="127" applyNumberFormat="1" applyFont="1" applyBorder="1" applyAlignment="1" applyProtection="1">
      <alignment horizontal="center"/>
      <protection/>
    </xf>
    <xf numFmtId="173" fontId="0" fillId="0" borderId="6" xfId="127" applyNumberFormat="1" applyFont="1" applyBorder="1" applyAlignment="1" applyProtection="1" quotePrefix="1">
      <alignment horizontal="center"/>
      <protection/>
    </xf>
    <xf numFmtId="41" fontId="0" fillId="0" borderId="0" xfId="127" applyNumberFormat="1" applyFont="1" applyFill="1" applyBorder="1" applyAlignment="1" applyProtection="1">
      <alignment horizontal="right"/>
      <protection/>
    </xf>
    <xf numFmtId="10" fontId="0" fillId="0" borderId="0" xfId="135" applyNumberFormat="1" applyFont="1" applyFill="1" applyBorder="1" applyAlignment="1" applyProtection="1">
      <alignment/>
      <protection/>
    </xf>
    <xf numFmtId="41" fontId="12" fillId="0" borderId="11" xfId="127" applyNumberFormat="1" applyFont="1" applyFill="1" applyBorder="1" applyAlignment="1" applyProtection="1">
      <alignment/>
      <protection/>
    </xf>
    <xf numFmtId="173" fontId="0" fillId="0" borderId="0" xfId="73" applyNumberFormat="1" applyFont="1" applyFill="1" applyBorder="1" applyAlignment="1" applyProtection="1">
      <alignment/>
      <protection/>
    </xf>
    <xf numFmtId="182" fontId="0" fillId="0" borderId="0" xfId="73" applyNumberFormat="1" applyFont="1" applyAlignment="1" applyProtection="1">
      <alignment/>
      <protection/>
    </xf>
    <xf numFmtId="0" fontId="9" fillId="0" borderId="23" xfId="0" applyFont="1" applyFill="1" applyBorder="1" applyAlignment="1" applyProtection="1">
      <alignment horizontal="center"/>
      <protection/>
    </xf>
    <xf numFmtId="173" fontId="0" fillId="0" borderId="19" xfId="73" applyNumberFormat="1" applyFont="1" applyBorder="1" applyAlignment="1" applyProtection="1">
      <alignment/>
      <protection/>
    </xf>
    <xf numFmtId="173" fontId="9" fillId="0" borderId="0" xfId="73" applyNumberFormat="1" applyFont="1" applyBorder="1" applyAlignment="1" applyProtection="1">
      <alignment/>
      <protection/>
    </xf>
    <xf numFmtId="173" fontId="0" fillId="0" borderId="20" xfId="0" applyNumberFormat="1" applyFont="1" applyBorder="1" applyAlignment="1" applyProtection="1">
      <alignment/>
      <protection/>
    </xf>
    <xf numFmtId="173" fontId="9" fillId="0" borderId="11" xfId="73" applyNumberFormat="1" applyFont="1" applyBorder="1" applyAlignment="1" applyProtection="1">
      <alignment/>
      <protection/>
    </xf>
    <xf numFmtId="173" fontId="0" fillId="0" borderId="25" xfId="0" applyNumberFormat="1" applyFont="1" applyBorder="1" applyAlignment="1" applyProtection="1">
      <alignment/>
      <protection/>
    </xf>
    <xf numFmtId="173" fontId="9" fillId="0" borderId="6" xfId="73" applyNumberFormat="1" applyFont="1" applyFill="1" applyBorder="1" applyAlignment="1" applyProtection="1">
      <alignment horizontal="left"/>
      <protection/>
    </xf>
    <xf numFmtId="173" fontId="9" fillId="0" borderId="22" xfId="73" applyNumberFormat="1" applyFont="1" applyFill="1" applyBorder="1" applyAlignment="1" applyProtection="1">
      <alignment horizontal="left"/>
      <protection/>
    </xf>
    <xf numFmtId="0" fontId="0" fillId="0" borderId="0" xfId="0" applyFont="1" applyFill="1" applyBorder="1" applyAlignment="1" applyProtection="1">
      <alignment/>
      <protection/>
    </xf>
    <xf numFmtId="173" fontId="0" fillId="0" borderId="29" xfId="0" applyNumberFormat="1" applyFont="1" applyBorder="1" applyAlignment="1" applyProtection="1">
      <alignment/>
      <protection/>
    </xf>
    <xf numFmtId="174" fontId="0" fillId="0" borderId="29" xfId="0" applyNumberFormat="1" applyFont="1" applyBorder="1" applyAlignment="1" applyProtection="1">
      <alignment/>
      <protection/>
    </xf>
    <xf numFmtId="0" fontId="0" fillId="25" borderId="0" xfId="0" applyFont="1" applyFill="1" applyAlignment="1" applyProtection="1">
      <alignment/>
      <protection locked="0"/>
    </xf>
    <xf numFmtId="173" fontId="0" fillId="25" borderId="0" xfId="73" applyNumberFormat="1" applyFont="1" applyFill="1" applyAlignment="1" applyProtection="1">
      <alignment/>
      <protection locked="0"/>
    </xf>
    <xf numFmtId="173" fontId="8" fillId="0" borderId="20" xfId="0" applyNumberFormat="1" applyFont="1" applyFill="1" applyBorder="1" applyAlignment="1" applyProtection="1">
      <alignment horizontal="right"/>
      <protection/>
    </xf>
    <xf numFmtId="0" fontId="8" fillId="25" borderId="20" xfId="0" applyFont="1" applyFill="1" applyBorder="1" applyAlignment="1" applyProtection="1">
      <alignment horizontal="right"/>
      <protection locked="0"/>
    </xf>
    <xf numFmtId="0" fontId="14" fillId="0" borderId="0" xfId="124" applyFont="1" applyFill="1" applyProtection="1">
      <alignment/>
      <protection/>
    </xf>
    <xf numFmtId="0" fontId="14" fillId="0" borderId="0" xfId="124" applyFont="1" applyProtection="1">
      <alignment/>
      <protection/>
    </xf>
    <xf numFmtId="0" fontId="4" fillId="0" borderId="0" xfId="0" applyFont="1" applyFill="1" applyAlignment="1" applyProtection="1">
      <alignment horizontal="center" wrapText="1"/>
      <protection/>
    </xf>
    <xf numFmtId="0" fontId="0" fillId="0" borderId="0" xfId="0" applyFill="1" applyAlignment="1" applyProtection="1">
      <alignment horizontal="center" wrapText="1"/>
      <protection/>
    </xf>
    <xf numFmtId="0" fontId="2" fillId="0" borderId="0" xfId="0" applyFont="1" applyFill="1" applyAlignment="1" applyProtection="1">
      <alignment horizontal="right"/>
      <protection/>
    </xf>
    <xf numFmtId="0" fontId="16" fillId="0" borderId="0" xfId="124" applyFont="1" applyFill="1" applyAlignment="1" applyProtection="1">
      <alignment horizontal="center"/>
      <protection/>
    </xf>
    <xf numFmtId="193" fontId="16" fillId="0" borderId="0" xfId="114" applyNumberFormat="1" applyFont="1" applyBorder="1" applyAlignment="1" applyProtection="1">
      <alignment horizontal="center"/>
      <protection/>
    </xf>
    <xf numFmtId="0" fontId="84" fillId="0" borderId="0" xfId="124" applyFont="1" applyFill="1" applyProtection="1">
      <alignment/>
      <protection/>
    </xf>
    <xf numFmtId="0" fontId="14" fillId="0" borderId="0" xfId="124" applyFont="1" applyFill="1" applyAlignment="1" applyProtection="1">
      <alignment horizontal="left"/>
      <protection/>
    </xf>
    <xf numFmtId="0" fontId="9" fillId="0" borderId="0" xfId="124" applyFont="1" applyFill="1" applyProtection="1">
      <alignment/>
      <protection/>
    </xf>
    <xf numFmtId="41" fontId="0" fillId="0" borderId="0" xfId="0" applyNumberFormat="1" applyFont="1" applyFill="1" applyAlignment="1" applyProtection="1">
      <alignment/>
      <protection/>
    </xf>
    <xf numFmtId="3" fontId="103" fillId="0" borderId="0" xfId="127" applyNumberFormat="1" applyFont="1" applyFill="1" applyAlignment="1" applyProtection="1">
      <alignment/>
      <protection/>
    </xf>
    <xf numFmtId="41" fontId="0" fillId="0" borderId="6" xfId="0" applyNumberFormat="1" applyFont="1" applyFill="1" applyBorder="1" applyAlignment="1" applyProtection="1">
      <alignment/>
      <protection/>
    </xf>
    <xf numFmtId="0" fontId="9" fillId="0" borderId="0" xfId="127" applyNumberFormat="1" applyFont="1" applyFill="1" applyBorder="1" applyAlignment="1" applyProtection="1">
      <alignment/>
      <protection/>
    </xf>
    <xf numFmtId="3" fontId="9" fillId="0" borderId="0" xfId="127" applyNumberFormat="1" applyFont="1" applyFill="1" applyAlignment="1" applyProtection="1">
      <alignment/>
      <protection/>
    </xf>
    <xf numFmtId="41" fontId="9" fillId="0" borderId="0" xfId="127" applyNumberFormat="1" applyFont="1" applyFill="1" applyAlignment="1" applyProtection="1">
      <alignment/>
      <protection/>
    </xf>
    <xf numFmtId="0" fontId="74" fillId="0" borderId="0" xfId="124" applyFont="1" applyFill="1" applyBorder="1" applyAlignment="1" applyProtection="1">
      <alignment horizontal="left"/>
      <protection/>
    </xf>
    <xf numFmtId="0" fontId="0" fillId="0" borderId="0" xfId="124" applyFont="1" applyFill="1" applyProtection="1">
      <alignment/>
      <protection/>
    </xf>
    <xf numFmtId="0" fontId="0" fillId="0" borderId="0" xfId="124" applyFill="1" applyProtection="1">
      <alignment/>
      <protection/>
    </xf>
    <xf numFmtId="0" fontId="9" fillId="0" borderId="0" xfId="124" applyFont="1" applyFill="1" applyAlignment="1" applyProtection="1">
      <alignment horizontal="center"/>
      <protection/>
    </xf>
    <xf numFmtId="0" fontId="0" fillId="0" borderId="0" xfId="124" applyFont="1" applyFill="1" applyAlignment="1" applyProtection="1">
      <alignment horizontal="left"/>
      <protection/>
    </xf>
    <xf numFmtId="0" fontId="0" fillId="0" borderId="0" xfId="124" applyFont="1" applyFill="1" applyAlignment="1" applyProtection="1">
      <alignment horizontal="left"/>
      <protection/>
    </xf>
    <xf numFmtId="41" fontId="0" fillId="0" borderId="0" xfId="0" applyNumberFormat="1" applyFont="1" applyFill="1" applyBorder="1" applyAlignment="1" applyProtection="1">
      <alignment/>
      <protection/>
    </xf>
    <xf numFmtId="0" fontId="9" fillId="0" borderId="0" xfId="124" applyFont="1" applyFill="1" applyAlignment="1" applyProtection="1">
      <alignment horizontal="left"/>
      <protection/>
    </xf>
    <xf numFmtId="41" fontId="9" fillId="0" borderId="0" xfId="0" applyNumberFormat="1" applyFont="1" applyFill="1" applyAlignment="1" applyProtection="1">
      <alignment/>
      <protection/>
    </xf>
    <xf numFmtId="173" fontId="0" fillId="0" borderId="0" xfId="73" applyNumberFormat="1" applyFont="1" applyFill="1" applyAlignment="1" applyProtection="1">
      <alignment/>
      <protection/>
    </xf>
    <xf numFmtId="0" fontId="103" fillId="0" borderId="0" xfId="124" applyFont="1" applyFill="1" applyProtection="1">
      <alignment/>
      <protection/>
    </xf>
    <xf numFmtId="10" fontId="0" fillId="0" borderId="0" xfId="135" applyNumberFormat="1" applyFont="1" applyFill="1" applyBorder="1" applyAlignment="1" applyProtection="1">
      <alignment/>
      <protection/>
    </xf>
    <xf numFmtId="0" fontId="105" fillId="0" borderId="0" xfId="124" applyFont="1" applyFill="1" applyProtection="1">
      <alignment/>
      <protection/>
    </xf>
    <xf numFmtId="10" fontId="9" fillId="0" borderId="0" xfId="135" applyNumberFormat="1" applyFont="1" applyFill="1" applyBorder="1" applyAlignment="1" applyProtection="1">
      <alignment/>
      <protection/>
    </xf>
    <xf numFmtId="173" fontId="9" fillId="0" borderId="0" xfId="135" applyNumberFormat="1" applyFont="1" applyFill="1" applyBorder="1" applyAlignment="1" applyProtection="1">
      <alignment/>
      <protection/>
    </xf>
    <xf numFmtId="173" fontId="14" fillId="0" borderId="0" xfId="124" applyNumberFormat="1" applyFont="1" applyFill="1" applyProtection="1">
      <alignment/>
      <protection/>
    </xf>
    <xf numFmtId="173" fontId="0" fillId="0" borderId="0" xfId="135" applyNumberFormat="1" applyFont="1" applyFill="1" applyBorder="1" applyAlignment="1" applyProtection="1">
      <alignment/>
      <protection/>
    </xf>
    <xf numFmtId="10" fontId="9" fillId="0" borderId="18" xfId="135" applyNumberFormat="1" applyFont="1" applyFill="1" applyBorder="1" applyAlignment="1" applyProtection="1">
      <alignment/>
      <protection/>
    </xf>
    <xf numFmtId="0" fontId="93" fillId="0" borderId="0" xfId="0" applyFont="1" applyAlignment="1" applyProtection="1">
      <alignment/>
      <protection/>
    </xf>
    <xf numFmtId="41" fontId="9" fillId="0" borderId="0" xfId="124" applyNumberFormat="1" applyFont="1" applyFill="1" applyBorder="1" applyAlignment="1" applyProtection="1">
      <alignment horizontal="center" wrapText="1"/>
      <protection/>
    </xf>
    <xf numFmtId="0" fontId="9" fillId="0" borderId="0" xfId="124" applyFont="1" applyFill="1" applyAlignment="1" applyProtection="1">
      <alignment horizontal="center" wrapText="1"/>
      <protection/>
    </xf>
    <xf numFmtId="0" fontId="0" fillId="0" borderId="11" xfId="0" applyFont="1" applyBorder="1" applyAlignment="1" applyProtection="1">
      <alignment/>
      <protection/>
    </xf>
    <xf numFmtId="173" fontId="0" fillId="0" borderId="0" xfId="135" applyNumberFormat="1" applyFont="1" applyFill="1" applyBorder="1" applyAlignment="1" applyProtection="1">
      <alignment/>
      <protection/>
    </xf>
    <xf numFmtId="0" fontId="84" fillId="0" borderId="0" xfId="124" applyFont="1" applyFill="1" applyAlignment="1" applyProtection="1">
      <alignment horizontal="left"/>
      <protection/>
    </xf>
    <xf numFmtId="0" fontId="16" fillId="0" borderId="0" xfId="124" applyFont="1" applyFill="1" applyAlignment="1" applyProtection="1">
      <alignment horizontal="left"/>
      <protection/>
    </xf>
    <xf numFmtId="0" fontId="16" fillId="0" borderId="0" xfId="124" applyFont="1" applyFill="1" applyAlignment="1" applyProtection="1">
      <alignment horizontal="center" wrapText="1"/>
      <protection/>
    </xf>
    <xf numFmtId="41" fontId="8" fillId="0" borderId="0" xfId="124" applyNumberFormat="1" applyFont="1" applyFill="1" applyBorder="1" applyProtection="1">
      <alignment/>
      <protection/>
    </xf>
    <xf numFmtId="173" fontId="0" fillId="0" borderId="0" xfId="73" applyNumberFormat="1" applyFill="1" applyAlignment="1" applyProtection="1">
      <alignment/>
      <protection/>
    </xf>
    <xf numFmtId="173" fontId="20" fillId="0" borderId="0" xfId="73" applyNumberFormat="1" applyFont="1" applyFill="1" applyAlignment="1" applyProtection="1">
      <alignment/>
      <protection/>
    </xf>
    <xf numFmtId="10" fontId="14" fillId="0" borderId="0" xfId="135" applyNumberFormat="1" applyFont="1" applyFill="1" applyAlignment="1" applyProtection="1">
      <alignment/>
      <protection/>
    </xf>
    <xf numFmtId="41" fontId="0" fillId="0" borderId="0" xfId="124" applyNumberFormat="1" applyFill="1" applyBorder="1" applyProtection="1">
      <alignment/>
      <protection/>
    </xf>
    <xf numFmtId="41" fontId="85" fillId="0" borderId="0" xfId="124" applyNumberFormat="1" applyFont="1" applyFill="1" applyProtection="1">
      <alignment/>
      <protection/>
    </xf>
    <xf numFmtId="0" fontId="0" fillId="0" borderId="0" xfId="124" applyFont="1" applyFill="1" applyProtection="1">
      <alignment/>
      <protection/>
    </xf>
    <xf numFmtId="41" fontId="0" fillId="0" borderId="12" xfId="124" applyNumberFormat="1" applyFont="1" applyFill="1" applyBorder="1" applyProtection="1">
      <alignment/>
      <protection/>
    </xf>
    <xf numFmtId="41" fontId="9" fillId="0" borderId="32" xfId="124" applyNumberFormat="1" applyFont="1" applyFill="1" applyBorder="1" applyProtection="1">
      <alignment/>
      <protection/>
    </xf>
    <xf numFmtId="0" fontId="9" fillId="0" borderId="0" xfId="124" applyFont="1" applyFill="1" applyBorder="1" applyProtection="1">
      <alignment/>
      <protection/>
    </xf>
    <xf numFmtId="10" fontId="0" fillId="0" borderId="0" xfId="135" applyNumberFormat="1" applyFont="1" applyFill="1" applyBorder="1" applyAlignment="1" applyProtection="1">
      <alignment/>
      <protection/>
    </xf>
    <xf numFmtId="0" fontId="16" fillId="0" borderId="0" xfId="0" applyFont="1" applyFill="1" applyBorder="1" applyAlignment="1" applyProtection="1">
      <alignment horizontal="center" wrapText="1"/>
      <protection/>
    </xf>
    <xf numFmtId="173" fontId="8" fillId="25" borderId="0" xfId="73" applyNumberFormat="1" applyFont="1" applyFill="1" applyBorder="1" applyAlignment="1" applyProtection="1">
      <alignment/>
      <protection locked="0"/>
    </xf>
    <xf numFmtId="173" fontId="8" fillId="25" borderId="0" xfId="73" applyNumberFormat="1" applyFont="1" applyFill="1" applyBorder="1" applyAlignment="1" applyProtection="1">
      <alignment/>
      <protection locked="0"/>
    </xf>
    <xf numFmtId="173" fontId="8" fillId="25" borderId="11" xfId="73" applyNumberFormat="1" applyFont="1" applyFill="1" applyBorder="1" applyAlignment="1" applyProtection="1">
      <alignment/>
      <protection locked="0"/>
    </xf>
    <xf numFmtId="0" fontId="8" fillId="25" borderId="0" xfId="124" applyFont="1" applyFill="1" applyProtection="1">
      <alignment/>
      <protection locked="0"/>
    </xf>
    <xf numFmtId="173" fontId="103" fillId="25" borderId="0" xfId="73" applyNumberFormat="1" applyFont="1" applyFill="1" applyBorder="1" applyAlignment="1" applyProtection="1">
      <alignment/>
      <protection locked="0"/>
    </xf>
    <xf numFmtId="197" fontId="8" fillId="25" borderId="0" xfId="124" applyNumberFormat="1" applyFont="1" applyFill="1" applyProtection="1">
      <alignment/>
      <protection locked="0"/>
    </xf>
    <xf numFmtId="10" fontId="8" fillId="25" borderId="0" xfId="135" applyNumberFormat="1" applyFont="1" applyFill="1" applyAlignment="1" applyProtection="1">
      <alignment horizontal="right" wrapText="1"/>
      <protection locked="0"/>
    </xf>
    <xf numFmtId="44" fontId="8" fillId="25" borderId="0" xfId="85" applyFont="1" applyFill="1" applyAlignment="1" applyProtection="1">
      <alignment horizontal="right" wrapText="1"/>
      <protection locked="0"/>
    </xf>
    <xf numFmtId="173" fontId="8" fillId="25" borderId="0" xfId="73" applyNumberFormat="1" applyFont="1" applyFill="1" applyAlignment="1" applyProtection="1">
      <alignment/>
      <protection locked="0"/>
    </xf>
    <xf numFmtId="173" fontId="20" fillId="25" borderId="0" xfId="73" applyNumberFormat="1" applyFont="1" applyFill="1" applyAlignment="1" applyProtection="1">
      <alignment/>
      <protection locked="0"/>
    </xf>
    <xf numFmtId="194" fontId="8" fillId="25" borderId="0" xfId="0" applyNumberFormat="1" applyFont="1" applyFill="1" applyAlignment="1" applyProtection="1">
      <alignment/>
      <protection locked="0"/>
    </xf>
    <xf numFmtId="0" fontId="0" fillId="25" borderId="0" xfId="0" applyFill="1" applyAlignment="1" applyProtection="1">
      <alignment horizontal="center"/>
      <protection locked="0"/>
    </xf>
    <xf numFmtId="0" fontId="8" fillId="25" borderId="0" xfId="0" applyFont="1" applyFill="1" applyAlignment="1" applyProtection="1">
      <alignment/>
      <protection locked="0"/>
    </xf>
    <xf numFmtId="170" fontId="18" fillId="25" borderId="0" xfId="126" applyNumberFormat="1" applyFont="1" applyFill="1" applyBorder="1" applyAlignment="1" applyProtection="1">
      <alignment horizontal="right"/>
      <protection locked="0"/>
    </xf>
    <xf numFmtId="171" fontId="3" fillId="25" borderId="0" xfId="126" applyNumberFormat="1" applyFont="1" applyFill="1" applyBorder="1" applyAlignment="1" applyProtection="1">
      <alignment/>
      <protection locked="0"/>
    </xf>
    <xf numFmtId="3" fontId="18" fillId="25" borderId="0" xfId="73" applyNumberFormat="1" applyFont="1" applyFill="1" applyBorder="1" applyAlignment="1" applyProtection="1">
      <alignment horizontal="right"/>
      <protection locked="0"/>
    </xf>
    <xf numFmtId="170" fontId="18" fillId="25" borderId="0" xfId="0" applyNumberFormat="1" applyFont="1" applyFill="1" applyBorder="1" applyAlignment="1" applyProtection="1">
      <alignment horizontal="right"/>
      <protection locked="0"/>
    </xf>
    <xf numFmtId="170" fontId="18" fillId="25" borderId="6" xfId="0" applyNumberFormat="1" applyFont="1" applyFill="1" applyBorder="1" applyAlignment="1" applyProtection="1">
      <alignment horizontal="right"/>
      <protection locked="0"/>
    </xf>
    <xf numFmtId="0" fontId="95" fillId="0" borderId="0" xfId="130" applyFont="1" applyAlignment="1" applyProtection="1">
      <alignment/>
      <protection/>
    </xf>
    <xf numFmtId="0" fontId="1" fillId="0" borderId="0" xfId="130" applyProtection="1">
      <alignment/>
      <protection/>
    </xf>
    <xf numFmtId="0" fontId="96" fillId="0" borderId="0" xfId="130" applyFont="1" applyProtection="1">
      <alignment/>
      <protection/>
    </xf>
    <xf numFmtId="0" fontId="97" fillId="0" borderId="0" xfId="130" applyFont="1" applyAlignment="1" applyProtection="1">
      <alignment horizontal="center"/>
      <protection/>
    </xf>
    <xf numFmtId="0" fontId="114" fillId="0" borderId="0" xfId="130" applyFont="1" applyAlignment="1" applyProtection="1">
      <alignment horizontal="center"/>
      <protection/>
    </xf>
    <xf numFmtId="0" fontId="3" fillId="0" borderId="0" xfId="0" applyFont="1" applyAlignment="1" applyProtection="1">
      <alignment wrapText="1"/>
      <protection/>
    </xf>
    <xf numFmtId="0" fontId="1" fillId="0" borderId="0" xfId="130" applyFont="1" applyAlignment="1" applyProtection="1">
      <alignment horizontal="center"/>
      <protection/>
    </xf>
    <xf numFmtId="0" fontId="115" fillId="0" borderId="16" xfId="130" applyFont="1" applyBorder="1" applyProtection="1">
      <alignment/>
      <protection/>
    </xf>
    <xf numFmtId="0" fontId="96" fillId="0" borderId="16" xfId="130" applyFont="1" applyBorder="1" applyProtection="1">
      <alignment/>
      <protection/>
    </xf>
    <xf numFmtId="0" fontId="115" fillId="0" borderId="0" xfId="130" applyFont="1" applyBorder="1" applyProtection="1">
      <alignment/>
      <protection/>
    </xf>
    <xf numFmtId="0" fontId="96" fillId="0" borderId="0" xfId="130" applyFont="1" applyBorder="1" applyProtection="1">
      <alignment/>
      <protection/>
    </xf>
    <xf numFmtId="0" fontId="1" fillId="0" borderId="0" xfId="130" applyFont="1" applyBorder="1" applyAlignment="1" applyProtection="1">
      <alignment horizontal="left"/>
      <protection/>
    </xf>
    <xf numFmtId="0" fontId="1" fillId="0" borderId="0" xfId="130" applyFont="1" applyBorder="1" applyProtection="1">
      <alignment/>
      <protection/>
    </xf>
    <xf numFmtId="196" fontId="1" fillId="0" borderId="0" xfId="130" applyNumberFormat="1" applyProtection="1">
      <alignment/>
      <protection/>
    </xf>
    <xf numFmtId="0" fontId="1" fillId="0" borderId="0" xfId="130" applyFont="1" applyBorder="1" applyAlignment="1" applyProtection="1">
      <alignment wrapText="1"/>
      <protection/>
    </xf>
    <xf numFmtId="0" fontId="0" fillId="0" borderId="0" xfId="0" applyBorder="1" applyAlignment="1" applyProtection="1">
      <alignment wrapText="1"/>
      <protection/>
    </xf>
    <xf numFmtId="0" fontId="116" fillId="0" borderId="33" xfId="130" applyFont="1" applyBorder="1" applyProtection="1">
      <alignment/>
      <protection/>
    </xf>
    <xf numFmtId="0" fontId="76" fillId="0" borderId="2" xfId="130" applyFont="1" applyBorder="1" applyAlignment="1" applyProtection="1">
      <alignment horizontal="center"/>
      <protection/>
    </xf>
    <xf numFmtId="0" fontId="76" fillId="0" borderId="34" xfId="130" applyFont="1" applyBorder="1" applyAlignment="1" applyProtection="1">
      <alignment horizontal="center"/>
      <protection/>
    </xf>
    <xf numFmtId="0" fontId="1" fillId="0" borderId="35" xfId="130" applyFont="1" applyFill="1" applyBorder="1" applyProtection="1">
      <alignment/>
      <protection/>
    </xf>
    <xf numFmtId="3" fontId="1" fillId="0" borderId="0" xfId="130" applyNumberFormat="1" applyFont="1" applyFill="1" applyBorder="1" applyProtection="1">
      <alignment/>
      <protection/>
    </xf>
    <xf numFmtId="3" fontId="1" fillId="0" borderId="36" xfId="130" applyNumberFormat="1" applyFont="1" applyFill="1" applyBorder="1" applyProtection="1">
      <alignment/>
      <protection/>
    </xf>
    <xf numFmtId="0" fontId="3" fillId="0" borderId="35" xfId="130" applyFont="1" applyFill="1" applyBorder="1" applyProtection="1">
      <alignment/>
      <protection/>
    </xf>
    <xf numFmtId="0" fontId="1" fillId="0" borderId="37" xfId="130" applyFont="1" applyBorder="1" applyProtection="1">
      <alignment/>
      <protection/>
    </xf>
    <xf numFmtId="10" fontId="1" fillId="0" borderId="11" xfId="135" applyNumberFormat="1" applyFont="1" applyBorder="1" applyAlignment="1" applyProtection="1">
      <alignment horizontal="center"/>
      <protection/>
    </xf>
    <xf numFmtId="10" fontId="71" fillId="0" borderId="38" xfId="135" applyNumberFormat="1" applyFont="1" applyBorder="1" applyAlignment="1" applyProtection="1">
      <alignment horizontal="center"/>
      <protection/>
    </xf>
    <xf numFmtId="0" fontId="1" fillId="0" borderId="0" xfId="130" applyBorder="1" applyProtection="1">
      <alignment/>
      <protection/>
    </xf>
    <xf numFmtId="176" fontId="1" fillId="0" borderId="0" xfId="130" applyNumberFormat="1" applyFill="1" applyBorder="1" applyProtection="1">
      <alignment/>
      <protection/>
    </xf>
    <xf numFmtId="0" fontId="0" fillId="0" borderId="0" xfId="132" applyFont="1" applyProtection="1">
      <alignment/>
      <protection/>
    </xf>
    <xf numFmtId="0" fontId="9" fillId="0" borderId="0" xfId="132" applyFont="1" applyAlignment="1" applyProtection="1">
      <alignment horizontal="center" wrapText="1"/>
      <protection/>
    </xf>
    <xf numFmtId="173" fontId="0" fillId="0" borderId="11" xfId="73" applyNumberFormat="1" applyFont="1" applyFill="1" applyBorder="1" applyAlignment="1" applyProtection="1">
      <alignment/>
      <protection/>
    </xf>
    <xf numFmtId="173" fontId="0" fillId="0" borderId="0" xfId="73" applyNumberFormat="1" applyFont="1" applyFill="1" applyBorder="1" applyAlignment="1" applyProtection="1">
      <alignment/>
      <protection/>
    </xf>
    <xf numFmtId="0" fontId="0" fillId="0" borderId="0" xfId="124" applyFont="1" applyFill="1" applyAlignment="1" applyProtection="1">
      <alignment horizontal="left" vertical="top" wrapText="1"/>
      <protection/>
    </xf>
    <xf numFmtId="0" fontId="100" fillId="0" borderId="0" xfId="132" applyProtection="1">
      <alignment/>
      <protection/>
    </xf>
    <xf numFmtId="0" fontId="9" fillId="0" borderId="0" xfId="132" applyFont="1" applyFill="1" applyProtection="1">
      <alignment/>
      <protection/>
    </xf>
    <xf numFmtId="173" fontId="0" fillId="0" borderId="0" xfId="132" applyNumberFormat="1" applyFont="1" applyProtection="1">
      <alignment/>
      <protection/>
    </xf>
    <xf numFmtId="0" fontId="0" fillId="0" borderId="0" xfId="132" applyFont="1" applyAlignment="1" applyProtection="1">
      <alignment vertical="top" wrapText="1"/>
      <protection/>
    </xf>
    <xf numFmtId="10" fontId="0" fillId="0" borderId="0" xfId="132" applyNumberFormat="1" applyFont="1" applyProtection="1">
      <alignment/>
      <protection/>
    </xf>
    <xf numFmtId="44" fontId="0" fillId="0" borderId="0" xfId="132" applyNumberFormat="1" applyFont="1" applyProtection="1">
      <alignment/>
      <protection/>
    </xf>
    <xf numFmtId="0" fontId="103" fillId="0" borderId="0" xfId="132" applyFont="1" applyFill="1" applyProtection="1">
      <alignment/>
      <protection/>
    </xf>
    <xf numFmtId="173" fontId="0" fillId="0" borderId="11" xfId="132" applyNumberFormat="1" applyFont="1" applyBorder="1" applyProtection="1">
      <alignment/>
      <protection/>
    </xf>
    <xf numFmtId="10" fontId="0" fillId="0" borderId="0" xfId="135" applyNumberFormat="1" applyFont="1" applyAlignment="1" applyProtection="1">
      <alignment/>
      <protection/>
    </xf>
    <xf numFmtId="0" fontId="0" fillId="0" borderId="0" xfId="132" applyFont="1" applyFill="1" applyProtection="1">
      <alignment/>
      <protection/>
    </xf>
    <xf numFmtId="10" fontId="0" fillId="26" borderId="0" xfId="135" applyNumberFormat="1" applyFont="1" applyFill="1" applyAlignment="1" applyProtection="1">
      <alignment/>
      <protection/>
    </xf>
    <xf numFmtId="10" fontId="0" fillId="0" borderId="11" xfId="135" applyNumberFormat="1" applyFont="1" applyBorder="1" applyAlignment="1" applyProtection="1">
      <alignment/>
      <protection/>
    </xf>
    <xf numFmtId="0" fontId="9" fillId="0" borderId="0" xfId="132" applyFont="1" applyProtection="1">
      <alignment/>
      <protection/>
    </xf>
    <xf numFmtId="10" fontId="9" fillId="0" borderId="0" xfId="135" applyNumberFormat="1" applyFont="1" applyAlignment="1" applyProtection="1">
      <alignment/>
      <protection/>
    </xf>
    <xf numFmtId="173" fontId="0" fillId="0" borderId="11" xfId="73" applyNumberFormat="1" applyFont="1" applyFill="1" applyBorder="1" applyAlignment="1" applyProtection="1">
      <alignment/>
      <protection/>
    </xf>
    <xf numFmtId="0" fontId="104" fillId="0" borderId="0" xfId="132" applyFont="1" applyFill="1" applyProtection="1">
      <alignment/>
      <protection/>
    </xf>
    <xf numFmtId="0" fontId="0" fillId="0" borderId="0" xfId="124" applyFont="1" applyFill="1" applyBorder="1" applyAlignment="1" applyProtection="1">
      <alignment horizontal="left"/>
      <protection/>
    </xf>
    <xf numFmtId="0" fontId="9" fillId="0" borderId="0" xfId="132" applyFont="1" applyFill="1" applyProtection="1">
      <alignment/>
      <protection/>
    </xf>
    <xf numFmtId="173" fontId="0" fillId="0" borderId="0" xfId="132" applyNumberFormat="1" applyFont="1" applyFill="1" applyProtection="1">
      <alignment/>
      <protection/>
    </xf>
    <xf numFmtId="173" fontId="0" fillId="26" borderId="0" xfId="132" applyNumberFormat="1" applyFont="1" applyFill="1" applyProtection="1">
      <alignment/>
      <protection/>
    </xf>
    <xf numFmtId="0" fontId="0" fillId="0" borderId="0" xfId="132" applyFont="1" applyFill="1" applyAlignment="1" applyProtection="1">
      <alignment vertical="top" wrapText="1"/>
      <protection/>
    </xf>
    <xf numFmtId="173" fontId="0" fillId="26" borderId="11" xfId="132" applyNumberFormat="1" applyFont="1" applyFill="1" applyBorder="1" applyProtection="1">
      <alignment/>
      <protection/>
    </xf>
    <xf numFmtId="173" fontId="0" fillId="26" borderId="0" xfId="73" applyNumberFormat="1" applyFont="1" applyFill="1" applyBorder="1" applyAlignment="1" applyProtection="1">
      <alignment/>
      <protection/>
    </xf>
    <xf numFmtId="43" fontId="0" fillId="0" borderId="0" xfId="132" applyNumberFormat="1" applyFont="1" applyProtection="1">
      <alignment/>
      <protection/>
    </xf>
    <xf numFmtId="10" fontId="0" fillId="0" borderId="11" xfId="135" applyNumberFormat="1" applyFont="1" applyFill="1" applyBorder="1" applyAlignment="1" applyProtection="1">
      <alignment/>
      <protection/>
    </xf>
    <xf numFmtId="10" fontId="9" fillId="0" borderId="0" xfId="135" applyNumberFormat="1" applyFont="1" applyFill="1" applyAlignment="1" applyProtection="1">
      <alignment/>
      <protection/>
    </xf>
    <xf numFmtId="10" fontId="0" fillId="25" borderId="0" xfId="135" applyNumberFormat="1" applyFont="1" applyFill="1" applyAlignment="1" applyProtection="1">
      <alignment horizontal="right" wrapText="1"/>
      <protection locked="0"/>
    </xf>
    <xf numFmtId="164" fontId="8" fillId="25" borderId="0" xfId="135" applyNumberFormat="1" applyFont="1" applyFill="1" applyAlignment="1" applyProtection="1">
      <alignment horizontal="right" wrapText="1"/>
      <protection locked="0"/>
    </xf>
    <xf numFmtId="44" fontId="0" fillId="25" borderId="0" xfId="85" applyFont="1" applyFill="1" applyAlignment="1" applyProtection="1">
      <alignment horizontal="right" wrapText="1"/>
      <protection locked="0"/>
    </xf>
    <xf numFmtId="170" fontId="111" fillId="25" borderId="31" xfId="0" applyNumberFormat="1" applyFont="1" applyFill="1" applyBorder="1" applyAlignment="1" applyProtection="1">
      <alignment horizontal="center"/>
      <protection locked="0"/>
    </xf>
    <xf numFmtId="0" fontId="111" fillId="0" borderId="0" xfId="0" applyFont="1" applyFill="1" applyAlignment="1" applyProtection="1">
      <alignment horizontal="left"/>
      <protection/>
    </xf>
    <xf numFmtId="0" fontId="111" fillId="0" borderId="0" xfId="0" applyFont="1" applyFill="1" applyAlignment="1" applyProtection="1">
      <alignment/>
      <protection/>
    </xf>
    <xf numFmtId="0" fontId="111" fillId="0" borderId="30" xfId="0" applyFont="1" applyFill="1" applyBorder="1" applyAlignment="1" applyProtection="1">
      <alignment horizontal="center" wrapText="1"/>
      <protection/>
    </xf>
    <xf numFmtId="0" fontId="111" fillId="0" borderId="30" xfId="0" applyFont="1" applyFill="1" applyBorder="1" applyAlignment="1" applyProtection="1">
      <alignment/>
      <protection/>
    </xf>
    <xf numFmtId="170" fontId="111" fillId="0" borderId="0" xfId="0" applyNumberFormat="1" applyFont="1" applyFill="1" applyAlignment="1" applyProtection="1">
      <alignment horizontal="center"/>
      <protection/>
    </xf>
    <xf numFmtId="170" fontId="111" fillId="0" borderId="0" xfId="0" applyNumberFormat="1" applyFont="1" applyFill="1" applyAlignment="1" applyProtection="1">
      <alignment/>
      <protection/>
    </xf>
    <xf numFmtId="170" fontId="3" fillId="0" borderId="0" xfId="0" applyNumberFormat="1" applyFont="1" applyFill="1" applyAlignment="1" applyProtection="1">
      <alignment/>
      <protection/>
    </xf>
    <xf numFmtId="5" fontId="111" fillId="0" borderId="31" xfId="0" applyNumberFormat="1" applyFont="1" applyFill="1" applyBorder="1" applyAlignment="1" applyProtection="1">
      <alignment horizontal="center"/>
      <protection/>
    </xf>
    <xf numFmtId="173" fontId="111" fillId="0" borderId="0" xfId="0" applyNumberFormat="1" applyFont="1" applyFill="1" applyAlignment="1" applyProtection="1">
      <alignment/>
      <protection/>
    </xf>
    <xf numFmtId="0" fontId="111" fillId="0" borderId="0" xfId="0" applyFont="1" applyFill="1" applyAlignment="1" applyProtection="1">
      <alignment horizontal="center"/>
      <protection/>
    </xf>
    <xf numFmtId="173" fontId="111" fillId="0" borderId="6" xfId="0" applyNumberFormat="1" applyFont="1" applyFill="1" applyBorder="1" applyAlignment="1" applyProtection="1">
      <alignment/>
      <protection/>
    </xf>
    <xf numFmtId="0" fontId="111" fillId="0" borderId="6" xfId="0" applyFont="1" applyFill="1" applyBorder="1" applyAlignment="1" applyProtection="1">
      <alignment horizontal="center"/>
      <protection/>
    </xf>
    <xf numFmtId="0" fontId="3" fillId="0" borderId="6" xfId="0" applyFont="1" applyFill="1" applyBorder="1" applyAlignment="1" applyProtection="1">
      <alignment/>
      <protection/>
    </xf>
    <xf numFmtId="173" fontId="111" fillId="0" borderId="0" xfId="0" applyNumberFormat="1" applyFont="1" applyFill="1" applyAlignment="1" applyProtection="1">
      <alignment horizontal="left"/>
      <protection/>
    </xf>
    <xf numFmtId="0" fontId="112" fillId="0" borderId="0" xfId="0" applyNumberFormat="1" applyFont="1" applyFill="1" applyAlignment="1" applyProtection="1">
      <alignment horizontal="left"/>
      <protection/>
    </xf>
    <xf numFmtId="0" fontId="112" fillId="0" borderId="0" xfId="0" applyFont="1" applyFill="1" applyAlignment="1" applyProtection="1">
      <alignment horizontal="center" wrapText="1"/>
      <protection/>
    </xf>
    <xf numFmtId="0" fontId="112" fillId="0" borderId="0" xfId="0" applyFont="1" applyFill="1" applyAlignment="1" applyProtection="1">
      <alignment horizontal="center"/>
      <protection/>
    </xf>
    <xf numFmtId="173" fontId="112" fillId="0" borderId="0" xfId="0" applyNumberFormat="1" applyFont="1" applyFill="1" applyAlignment="1" applyProtection="1">
      <alignment horizontal="center" wrapText="1"/>
      <protection/>
    </xf>
    <xf numFmtId="173" fontId="112" fillId="0" borderId="0" xfId="0" applyNumberFormat="1" applyFont="1" applyFill="1" applyAlignment="1" applyProtection="1">
      <alignment horizontal="center"/>
      <protection/>
    </xf>
    <xf numFmtId="176" fontId="111" fillId="0" borderId="0" xfId="136" applyNumberFormat="1" applyFont="1" applyFill="1" applyAlignment="1" applyProtection="1">
      <alignment/>
      <protection/>
    </xf>
    <xf numFmtId="173" fontId="111" fillId="0" borderId="0" xfId="0" applyNumberFormat="1" applyFont="1" applyFill="1" applyAlignment="1" applyProtection="1">
      <alignment horizontal="center"/>
      <protection/>
    </xf>
    <xf numFmtId="0" fontId="113" fillId="0" borderId="0" xfId="0" applyFont="1" applyFill="1" applyAlignment="1" applyProtection="1">
      <alignment horizontal="center"/>
      <protection/>
    </xf>
    <xf numFmtId="173" fontId="111" fillId="0" borderId="0" xfId="75" applyNumberFormat="1" applyFont="1" applyFill="1" applyAlignment="1" applyProtection="1">
      <alignment/>
      <protection/>
    </xf>
    <xf numFmtId="176" fontId="111" fillId="0" borderId="0" xfId="0" applyNumberFormat="1" applyFont="1" applyFill="1" applyAlignment="1" applyProtection="1">
      <alignment/>
      <protection/>
    </xf>
    <xf numFmtId="0" fontId="111" fillId="0" borderId="0" xfId="0" applyNumberFormat="1" applyFont="1" applyFill="1" applyAlignment="1" applyProtection="1">
      <alignment horizontal="center"/>
      <protection/>
    </xf>
    <xf numFmtId="173" fontId="111" fillId="0" borderId="11" xfId="75" applyNumberFormat="1" applyFont="1" applyFill="1" applyBorder="1" applyAlignment="1" applyProtection="1">
      <alignment/>
      <protection/>
    </xf>
    <xf numFmtId="173" fontId="112" fillId="0" borderId="0" xfId="75" applyNumberFormat="1" applyFont="1" applyFill="1" applyAlignment="1" applyProtection="1">
      <alignment/>
      <protection/>
    </xf>
    <xf numFmtId="173" fontId="112" fillId="0" borderId="0" xfId="75" applyNumberFormat="1" applyFont="1" applyFill="1" applyAlignment="1" applyProtection="1">
      <alignment horizontal="center"/>
      <protection/>
    </xf>
    <xf numFmtId="0" fontId="113" fillId="0" borderId="0" xfId="0" applyFont="1" applyFill="1" applyAlignment="1" applyProtection="1">
      <alignment/>
      <protection/>
    </xf>
    <xf numFmtId="173" fontId="112" fillId="0" borderId="0" xfId="0" applyNumberFormat="1" applyFont="1" applyFill="1" applyAlignment="1" applyProtection="1">
      <alignment/>
      <protection/>
    </xf>
    <xf numFmtId="202" fontId="3" fillId="0" borderId="0" xfId="0" applyNumberFormat="1" applyFont="1" applyFill="1" applyAlignment="1" applyProtection="1">
      <alignment/>
      <protection/>
    </xf>
    <xf numFmtId="173" fontId="3" fillId="0" borderId="0" xfId="75" applyNumberFormat="1" applyFont="1" applyFill="1" applyAlignment="1" applyProtection="1">
      <alignment/>
      <protection/>
    </xf>
    <xf numFmtId="173" fontId="3" fillId="0" borderId="0" xfId="87" applyNumberFormat="1" applyFont="1" applyFill="1" applyAlignment="1" applyProtection="1">
      <alignment/>
      <protection/>
    </xf>
    <xf numFmtId="170" fontId="119" fillId="0" borderId="0" xfId="0" applyNumberFormat="1" applyFont="1" applyFill="1" applyAlignment="1" applyProtection="1">
      <alignment horizontal="right"/>
      <protection/>
    </xf>
    <xf numFmtId="170" fontId="119" fillId="0" borderId="0" xfId="0" applyNumberFormat="1" applyFont="1" applyFill="1" applyAlignment="1" applyProtection="1">
      <alignment horizontal="center"/>
      <protection/>
    </xf>
    <xf numFmtId="0" fontId="112" fillId="0" borderId="29" xfId="0" applyFont="1" applyFill="1" applyBorder="1" applyAlignment="1" applyProtection="1">
      <alignment horizontal="center" wrapText="1"/>
      <protection/>
    </xf>
    <xf numFmtId="0" fontId="12" fillId="0" borderId="0" xfId="0" applyFont="1" applyAlignment="1">
      <alignment wrapText="1"/>
    </xf>
    <xf numFmtId="0" fontId="4" fillId="0" borderId="0" xfId="114" applyFont="1" applyBorder="1" applyAlignment="1" quotePrefix="1">
      <alignment horizontal="center" wrapText="1"/>
      <protection/>
    </xf>
    <xf numFmtId="176" fontId="111" fillId="25" borderId="0" xfId="136" applyNumberFormat="1" applyFont="1" applyFill="1" applyAlignment="1" applyProtection="1">
      <alignment/>
      <protection locked="0"/>
    </xf>
    <xf numFmtId="0" fontId="18" fillId="25" borderId="0" xfId="73" applyNumberFormat="1" applyFont="1" applyFill="1" applyAlignment="1" applyProtection="1">
      <alignment/>
      <protection locked="0"/>
    </xf>
    <xf numFmtId="10" fontId="1" fillId="0" borderId="0" xfId="130" applyNumberFormat="1" applyFill="1" applyProtection="1">
      <alignment/>
      <protection/>
    </xf>
    <xf numFmtId="174" fontId="127" fillId="25" borderId="0" xfId="0" applyNumberFormat="1" applyFont="1" applyFill="1" applyBorder="1" applyAlignment="1" applyProtection="1">
      <alignment/>
      <protection locked="0"/>
    </xf>
    <xf numFmtId="174" fontId="0" fillId="25" borderId="6" xfId="0" applyNumberFormat="1" applyFont="1" applyFill="1" applyBorder="1" applyAlignment="1" applyProtection="1">
      <alignment/>
      <protection locked="0"/>
    </xf>
    <xf numFmtId="173" fontId="0" fillId="25" borderId="6" xfId="127" applyNumberFormat="1" applyFont="1" applyFill="1" applyBorder="1" applyAlignment="1" applyProtection="1">
      <alignment horizontal="center"/>
      <protection locked="0"/>
    </xf>
    <xf numFmtId="0" fontId="58" fillId="25" borderId="0" xfId="0" applyFont="1" applyFill="1" applyAlignment="1" applyProtection="1">
      <alignment/>
      <protection locked="0"/>
    </xf>
    <xf numFmtId="200" fontId="58" fillId="25" borderId="0" xfId="0" applyNumberFormat="1" applyFont="1" applyFill="1" applyAlignment="1" applyProtection="1">
      <alignment horizontal="left"/>
      <protection locked="0"/>
    </xf>
    <xf numFmtId="3" fontId="58" fillId="25" borderId="0" xfId="0" applyNumberFormat="1" applyFont="1" applyFill="1" applyAlignment="1" applyProtection="1">
      <alignment/>
      <protection locked="0"/>
    </xf>
    <xf numFmtId="3" fontId="58" fillId="25" borderId="0" xfId="0" applyNumberFormat="1" applyFont="1" applyFill="1" applyAlignment="1" applyProtection="1" quotePrefix="1">
      <alignment horizontal="left"/>
      <protection locked="0"/>
    </xf>
    <xf numFmtId="0" fontId="120" fillId="25" borderId="0" xfId="0" applyFont="1" applyFill="1" applyAlignment="1" applyProtection="1">
      <alignment/>
      <protection locked="0"/>
    </xf>
    <xf numFmtId="3" fontId="120" fillId="25" borderId="0" xfId="0" applyNumberFormat="1" applyFont="1" applyFill="1" applyAlignment="1" applyProtection="1">
      <alignment/>
      <protection locked="0"/>
    </xf>
    <xf numFmtId="3" fontId="3" fillId="25" borderId="0" xfId="0" applyNumberFormat="1" applyFont="1" applyFill="1" applyAlignment="1" applyProtection="1">
      <alignment horizontal="center"/>
      <protection locked="0"/>
    </xf>
    <xf numFmtId="0" fontId="14" fillId="25" borderId="0" xfId="124" applyFont="1" applyFill="1" applyAlignment="1" applyProtection="1">
      <alignment horizontal="left"/>
      <protection locked="0"/>
    </xf>
    <xf numFmtId="0" fontId="14" fillId="25" borderId="0" xfId="124" applyFont="1" applyFill="1" applyProtection="1">
      <alignment/>
      <protection locked="0"/>
    </xf>
    <xf numFmtId="0" fontId="10" fillId="25" borderId="0" xfId="124" applyFont="1" applyFill="1" applyAlignment="1" applyProtection="1">
      <alignment horizontal="center"/>
      <protection locked="0"/>
    </xf>
    <xf numFmtId="3" fontId="3" fillId="25" borderId="0" xfId="0" applyNumberFormat="1" applyFont="1" applyFill="1" applyAlignment="1" applyProtection="1" quotePrefix="1">
      <alignment horizontal="center"/>
      <protection locked="0"/>
    </xf>
    <xf numFmtId="0" fontId="16" fillId="0" borderId="0" xfId="124" applyFont="1" applyAlignment="1" applyProtection="1">
      <alignment horizontal="center" wrapText="1"/>
      <protection/>
    </xf>
    <xf numFmtId="41" fontId="3" fillId="0" borderId="0" xfId="127" applyNumberFormat="1" applyFont="1" applyFill="1" applyAlignment="1" applyProtection="1">
      <alignment/>
      <protection locked="0"/>
    </xf>
    <xf numFmtId="0" fontId="0" fillId="0" borderId="0" xfId="114" applyFont="1" applyFill="1" applyBorder="1" applyAlignment="1" applyProtection="1">
      <alignment wrapText="1"/>
      <protection/>
    </xf>
    <xf numFmtId="10" fontId="18" fillId="25" borderId="0" xfId="135" applyNumberFormat="1" applyFont="1" applyFill="1" applyAlignment="1" applyProtection="1">
      <alignment/>
      <protection locked="0"/>
    </xf>
    <xf numFmtId="0" fontId="58" fillId="25" borderId="0" xfId="0" applyNumberFormat="1" applyFont="1" applyFill="1" applyAlignment="1" applyProtection="1" quotePrefix="1">
      <alignment horizontal="left"/>
      <protection locked="0"/>
    </xf>
    <xf numFmtId="0" fontId="121" fillId="0" borderId="0" xfId="124" applyFont="1" applyAlignment="1">
      <alignment horizontal="center"/>
      <protection/>
    </xf>
    <xf numFmtId="0" fontId="58" fillId="0" borderId="0" xfId="124" applyFont="1" applyAlignment="1">
      <alignment horizontal="left"/>
      <protection/>
    </xf>
    <xf numFmtId="0" fontId="35" fillId="0" borderId="0" xfId="124" applyFont="1" applyFill="1" applyBorder="1">
      <alignment/>
      <protection/>
    </xf>
    <xf numFmtId="0" fontId="35" fillId="0" borderId="0" xfId="124" applyFont="1" applyAlignment="1">
      <alignment horizontal="center" wrapText="1"/>
      <protection/>
    </xf>
    <xf numFmtId="0" fontId="58" fillId="0" borderId="0" xfId="0" applyFont="1" applyAlignment="1">
      <alignment/>
    </xf>
    <xf numFmtId="0" fontId="121" fillId="0" borderId="0" xfId="124" applyFont="1" applyAlignment="1">
      <alignment horizontal="right"/>
      <protection/>
    </xf>
    <xf numFmtId="0" fontId="58" fillId="0" borderId="0" xfId="0" applyFont="1" applyAlignment="1">
      <alignment horizontal="center" wrapText="1"/>
    </xf>
    <xf numFmtId="0" fontId="58" fillId="0" borderId="0" xfId="124" applyFont="1" applyAlignment="1">
      <alignment horizontal="center"/>
      <protection/>
    </xf>
    <xf numFmtId="0" fontId="35" fillId="0" borderId="0" xfId="124" applyFont="1" applyFill="1" applyBorder="1" applyAlignment="1">
      <alignment horizontal="left"/>
      <protection/>
    </xf>
    <xf numFmtId="0" fontId="58" fillId="0" borderId="0" xfId="124" applyFont="1">
      <alignment/>
      <protection/>
    </xf>
    <xf numFmtId="193" fontId="122" fillId="0" borderId="0" xfId="114" applyNumberFormat="1" applyFont="1" applyFill="1" applyBorder="1" applyAlignment="1">
      <alignment horizontal="center"/>
      <protection/>
    </xf>
    <xf numFmtId="38" fontId="58" fillId="0" borderId="0" xfId="0" applyNumberFormat="1" applyFont="1" applyFill="1" applyBorder="1" applyAlignment="1">
      <alignment/>
    </xf>
    <xf numFmtId="3" fontId="58" fillId="0" borderId="0" xfId="114" applyNumberFormat="1" applyFont="1" applyFill="1" applyBorder="1" applyAlignment="1">
      <alignment/>
      <protection/>
    </xf>
    <xf numFmtId="41" fontId="120" fillId="25" borderId="0" xfId="124" applyNumberFormat="1" applyFont="1" applyFill="1" applyProtection="1">
      <alignment/>
      <protection locked="0"/>
    </xf>
    <xf numFmtId="173" fontId="58" fillId="0" borderId="0" xfId="73" applyNumberFormat="1" applyFont="1" applyFill="1" applyAlignment="1">
      <alignment/>
    </xf>
    <xf numFmtId="37" fontId="120" fillId="25" borderId="0" xfId="0" applyNumberFormat="1" applyFont="1" applyFill="1" applyAlignment="1" applyProtection="1">
      <alignment/>
      <protection locked="0"/>
    </xf>
    <xf numFmtId="41" fontId="120" fillId="25" borderId="11" xfId="124" applyNumberFormat="1" applyFont="1" applyFill="1" applyBorder="1" applyProtection="1">
      <alignment/>
      <protection locked="0"/>
    </xf>
    <xf numFmtId="173" fontId="123" fillId="0" borderId="0" xfId="73" applyNumberFormat="1" applyFont="1" applyFill="1" applyAlignment="1">
      <alignment/>
    </xf>
    <xf numFmtId="38" fontId="58" fillId="0" borderId="0" xfId="0" applyNumberFormat="1" applyFont="1" applyFill="1" applyBorder="1" applyAlignment="1">
      <alignment horizontal="center"/>
    </xf>
    <xf numFmtId="41" fontId="58" fillId="0" borderId="0" xfId="124" applyNumberFormat="1" applyFont="1" applyFill="1">
      <alignment/>
      <protection/>
    </xf>
    <xf numFmtId="41" fontId="58" fillId="0" borderId="0" xfId="124" applyNumberFormat="1" applyFont="1">
      <alignment/>
      <protection/>
    </xf>
    <xf numFmtId="0" fontId="58" fillId="0" borderId="0" xfId="124" applyFont="1" applyFill="1">
      <alignment/>
      <protection/>
    </xf>
    <xf numFmtId="0" fontId="58" fillId="0" borderId="0" xfId="114" applyFont="1" applyFill="1" applyBorder="1" applyAlignment="1">
      <alignment horizontal="center"/>
      <protection/>
    </xf>
    <xf numFmtId="0" fontId="58" fillId="0" borderId="0" xfId="114" applyFont="1" applyFill="1" applyBorder="1">
      <alignment/>
      <protection/>
    </xf>
    <xf numFmtId="37" fontId="120" fillId="25" borderId="0" xfId="0" applyNumberFormat="1" applyFont="1" applyFill="1" applyBorder="1" applyAlignment="1" applyProtection="1">
      <alignment/>
      <protection locked="0"/>
    </xf>
    <xf numFmtId="0" fontId="35" fillId="0" borderId="0" xfId="124" applyFont="1" applyAlignment="1">
      <alignment horizontal="center"/>
      <protection/>
    </xf>
    <xf numFmtId="41" fontId="3" fillId="0" borderId="0" xfId="127" applyNumberFormat="1" applyFont="1" applyFill="1" applyBorder="1" applyAlignment="1" applyProtection="1">
      <alignment/>
      <protection locked="0"/>
    </xf>
    <xf numFmtId="0" fontId="0" fillId="0" borderId="0" xfId="0" applyAlignment="1">
      <alignment wrapText="1"/>
    </xf>
    <xf numFmtId="0" fontId="9" fillId="0" borderId="0" xfId="0" applyFont="1" applyAlignment="1">
      <alignment horizontal="center" wrapText="1"/>
    </xf>
    <xf numFmtId="0" fontId="9" fillId="0" borderId="11" xfId="0" applyFont="1" applyBorder="1" applyAlignment="1">
      <alignment horizontal="center"/>
    </xf>
    <xf numFmtId="0" fontId="0" fillId="0" borderId="0" xfId="0" applyAlignment="1">
      <alignment horizontal="center" wrapText="1"/>
    </xf>
    <xf numFmtId="172" fontId="71" fillId="0" borderId="0" xfId="127" applyFont="1" applyAlignment="1" applyProtection="1">
      <alignment horizontal="left" wrapText="1"/>
      <protection/>
    </xf>
    <xf numFmtId="49" fontId="3" fillId="0" borderId="0" xfId="127" applyNumberFormat="1" applyFont="1" applyAlignment="1" applyProtection="1">
      <alignment horizontal="center"/>
      <protection/>
    </xf>
    <xf numFmtId="0" fontId="0" fillId="0" borderId="0" xfId="0" applyFont="1" applyAlignment="1" applyProtection="1">
      <alignment horizontal="center"/>
      <protection/>
    </xf>
    <xf numFmtId="0" fontId="10" fillId="0" borderId="0" xfId="127" applyNumberFormat="1" applyFont="1" applyAlignment="1" applyProtection="1">
      <alignment horizontal="center"/>
      <protection/>
    </xf>
    <xf numFmtId="0" fontId="12" fillId="0" borderId="0" xfId="0" applyFont="1" applyAlignment="1" applyProtection="1">
      <alignment/>
      <protection/>
    </xf>
    <xf numFmtId="0" fontId="0" fillId="0" borderId="0" xfId="0" applyAlignment="1" applyProtection="1">
      <alignment horizontal="center"/>
      <protection/>
    </xf>
    <xf numFmtId="172" fontId="4" fillId="0" borderId="11" xfId="127" applyFont="1" applyBorder="1" applyAlignment="1" applyProtection="1">
      <alignment horizontal="center"/>
      <protection/>
    </xf>
    <xf numFmtId="3" fontId="98" fillId="27" borderId="0" xfId="127" applyNumberFormat="1" applyFont="1" applyFill="1" applyAlignment="1" applyProtection="1">
      <alignment horizontal="center"/>
      <protection/>
    </xf>
    <xf numFmtId="3" fontId="10" fillId="0" borderId="0" xfId="127" applyNumberFormat="1" applyFont="1" applyFill="1" applyAlignment="1" applyProtection="1">
      <alignment horizontal="center"/>
      <protection/>
    </xf>
    <xf numFmtId="0" fontId="3" fillId="0" borderId="0" xfId="0" applyFont="1" applyAlignment="1" applyProtection="1">
      <alignment wrapText="1"/>
      <protection/>
    </xf>
    <xf numFmtId="0" fontId="0" fillId="0" borderId="0" xfId="0" applyFont="1" applyAlignment="1" applyProtection="1">
      <alignment wrapText="1"/>
      <protection/>
    </xf>
    <xf numFmtId="172" fontId="3" fillId="0" borderId="0" xfId="127" applyFont="1" applyFill="1" applyAlignment="1" applyProtection="1">
      <alignment wrapText="1"/>
      <protection/>
    </xf>
    <xf numFmtId="0" fontId="3" fillId="26" borderId="0" xfId="127" applyNumberFormat="1" applyFont="1" applyFill="1" applyAlignment="1" applyProtection="1">
      <alignment vertical="top" wrapText="1"/>
      <protection/>
    </xf>
    <xf numFmtId="172" fontId="3" fillId="0" borderId="0" xfId="127" applyFont="1" applyAlignment="1" applyProtection="1">
      <alignment horizontal="left" wrapText="1"/>
      <protection/>
    </xf>
    <xf numFmtId="0" fontId="3" fillId="0" borderId="0" xfId="127" applyNumberFormat="1" applyFont="1" applyFill="1" applyAlignment="1" applyProtection="1">
      <alignment horizontal="left" wrapText="1"/>
      <protection/>
    </xf>
    <xf numFmtId="172" fontId="3" fillId="0" borderId="0" xfId="127" applyFont="1" applyAlignment="1" applyProtection="1">
      <alignment horizontal="justify" wrapText="1"/>
      <protection/>
    </xf>
    <xf numFmtId="0" fontId="0" fillId="0" borderId="0" xfId="0" applyFont="1" applyAlignment="1" applyProtection="1">
      <alignment horizontal="justify" wrapText="1"/>
      <protection/>
    </xf>
    <xf numFmtId="172" fontId="3" fillId="0" borderId="0" xfId="127" applyFont="1" applyAlignment="1" applyProtection="1">
      <alignment horizontal="left" wrapText="1"/>
      <protection/>
    </xf>
    <xf numFmtId="0" fontId="0" fillId="26" borderId="0" xfId="0" applyFont="1" applyFill="1" applyAlignment="1" applyProtection="1">
      <alignment/>
      <protection/>
    </xf>
    <xf numFmtId="172" fontId="3" fillId="0" borderId="0" xfId="127" applyFont="1" applyFill="1" applyAlignment="1" applyProtection="1">
      <alignment vertical="top" wrapText="1"/>
      <protection/>
    </xf>
    <xf numFmtId="0" fontId="3" fillId="0" borderId="0" xfId="0" applyFont="1" applyAlignment="1" applyProtection="1">
      <alignment vertical="top" wrapText="1"/>
      <protection/>
    </xf>
    <xf numFmtId="172" fontId="3" fillId="0" borderId="0" xfId="127" applyFont="1" applyFill="1" applyAlignment="1" applyProtection="1">
      <alignment wrapText="1"/>
      <protection/>
    </xf>
    <xf numFmtId="0" fontId="0" fillId="0" borderId="0" xfId="0" applyFont="1" applyAlignment="1" applyProtection="1">
      <alignment wrapText="1"/>
      <protection/>
    </xf>
    <xf numFmtId="172" fontId="3" fillId="0" borderId="0" xfId="127" applyFont="1" applyFill="1" applyAlignment="1" applyProtection="1">
      <alignment vertical="top" wrapText="1"/>
      <protection/>
    </xf>
    <xf numFmtId="0" fontId="16" fillId="0" borderId="0" xfId="114" applyFont="1" applyBorder="1" applyAlignment="1" applyProtection="1" quotePrefix="1">
      <alignment horizontal="center" wrapText="1"/>
      <protection/>
    </xf>
    <xf numFmtId="0" fontId="12" fillId="0" borderId="0" xfId="0" applyFont="1" applyAlignment="1" applyProtection="1">
      <alignment horizontal="center" wrapText="1"/>
      <protection/>
    </xf>
    <xf numFmtId="0" fontId="3" fillId="0" borderId="0" xfId="114" applyFont="1" applyBorder="1" applyAlignment="1" applyProtection="1">
      <alignment horizontal="center"/>
      <protection/>
    </xf>
    <xf numFmtId="0" fontId="3" fillId="0" borderId="0" xfId="0" applyFont="1" applyAlignment="1" applyProtection="1">
      <alignment horizontal="center"/>
      <protection/>
    </xf>
    <xf numFmtId="49" fontId="3" fillId="0" borderId="0" xfId="114" applyNumberFormat="1" applyFont="1" applyBorder="1" applyAlignment="1" applyProtection="1">
      <alignment horizontal="center"/>
      <protection/>
    </xf>
    <xf numFmtId="0" fontId="16" fillId="0" borderId="0" xfId="124" applyFont="1" applyAlignment="1" applyProtection="1">
      <alignment horizontal="center" wrapText="1"/>
      <protection/>
    </xf>
    <xf numFmtId="0" fontId="3" fillId="0" borderId="0" xfId="0" applyFont="1" applyAlignment="1">
      <alignment horizontal="center"/>
    </xf>
    <xf numFmtId="0" fontId="3" fillId="0" borderId="0" xfId="114" applyFont="1" applyBorder="1" applyAlignment="1">
      <alignment horizontal="center"/>
      <protection/>
    </xf>
    <xf numFmtId="0" fontId="35" fillId="0" borderId="0" xfId="124" applyFont="1" applyBorder="1" applyAlignment="1">
      <alignment horizontal="center" wrapText="1"/>
      <protection/>
    </xf>
    <xf numFmtId="0" fontId="58" fillId="0" borderId="11" xfId="0" applyFont="1" applyBorder="1" applyAlignment="1">
      <alignment horizontal="center" wrapText="1"/>
    </xf>
    <xf numFmtId="3" fontId="3" fillId="0" borderId="0" xfId="0" applyNumberFormat="1" applyFont="1" applyAlignment="1">
      <alignment horizontal="center"/>
    </xf>
    <xf numFmtId="0" fontId="35" fillId="0" borderId="0" xfId="114" applyFont="1" applyBorder="1" applyAlignment="1" quotePrefix="1">
      <alignment horizontal="center" wrapText="1"/>
      <protection/>
    </xf>
    <xf numFmtId="0" fontId="75" fillId="0" borderId="0" xfId="114" applyNumberFormat="1" applyFont="1" applyFill="1" applyBorder="1" applyAlignment="1">
      <alignment horizontal="center"/>
      <protection/>
    </xf>
    <xf numFmtId="0" fontId="75" fillId="0" borderId="0" xfId="124" applyFont="1" applyFill="1" applyAlignment="1">
      <alignment horizontal="center"/>
      <protection/>
    </xf>
    <xf numFmtId="0" fontId="16" fillId="0" borderId="0" xfId="124" applyFont="1" applyBorder="1" applyAlignment="1">
      <alignment horizontal="center" wrapText="1"/>
      <protection/>
    </xf>
    <xf numFmtId="0" fontId="12" fillId="0" borderId="0" xfId="0" applyFont="1" applyBorder="1" applyAlignment="1">
      <alignment horizontal="center" wrapText="1"/>
    </xf>
    <xf numFmtId="0" fontId="16" fillId="0" borderId="0" xfId="114" applyFont="1" applyBorder="1" applyAlignment="1" quotePrefix="1">
      <alignment horizontal="center" wrapText="1"/>
      <protection/>
    </xf>
    <xf numFmtId="0" fontId="12" fillId="0" borderId="0" xfId="0" applyFont="1" applyAlignment="1">
      <alignment horizontal="center" wrapText="1"/>
    </xf>
    <xf numFmtId="0" fontId="75" fillId="0" borderId="0" xfId="0" applyFont="1" applyFill="1" applyAlignment="1">
      <alignment horizontal="center"/>
    </xf>
    <xf numFmtId="172" fontId="3" fillId="0" borderId="0" xfId="127" applyFont="1" applyFill="1" applyAlignment="1" applyProtection="1">
      <alignment wrapText="1"/>
      <protection/>
    </xf>
    <xf numFmtId="0" fontId="0" fillId="0" borderId="0" xfId="0" applyFont="1" applyAlignment="1" applyProtection="1">
      <alignment wrapText="1"/>
      <protection/>
    </xf>
    <xf numFmtId="3" fontId="3" fillId="0" borderId="0" xfId="0" applyNumberFormat="1" applyFont="1" applyAlignment="1" applyProtection="1">
      <alignment horizontal="center"/>
      <protection/>
    </xf>
    <xf numFmtId="0" fontId="9" fillId="0" borderId="0" xfId="131" applyFont="1" applyFill="1" applyAlignment="1" applyProtection="1">
      <alignment wrapText="1"/>
      <protection/>
    </xf>
    <xf numFmtId="172" fontId="0" fillId="0" borderId="0" xfId="127" applyFont="1" applyFill="1" applyAlignment="1" applyProtection="1">
      <alignment vertical="top" wrapText="1"/>
      <protection/>
    </xf>
    <xf numFmtId="0" fontId="0" fillId="0" borderId="0" xfId="0" applyFont="1" applyAlignment="1" applyProtection="1">
      <alignment vertical="top" wrapText="1"/>
      <protection/>
    </xf>
    <xf numFmtId="3" fontId="2" fillId="0" borderId="0" xfId="0" applyNumberFormat="1" applyFont="1" applyAlignment="1" applyProtection="1">
      <alignment horizontal="center"/>
      <protection/>
    </xf>
    <xf numFmtId="0" fontId="10" fillId="0" borderId="0" xfId="131" applyFont="1" applyFill="1" applyAlignment="1" applyProtection="1">
      <alignment horizontal="center"/>
      <protection/>
    </xf>
    <xf numFmtId="3" fontId="2" fillId="0" borderId="0" xfId="0" applyNumberFormat="1" applyFont="1" applyAlignment="1">
      <alignment horizontal="center"/>
    </xf>
    <xf numFmtId="0" fontId="69" fillId="0" borderId="11" xfId="128" applyFont="1" applyBorder="1" applyAlignment="1" applyProtection="1">
      <alignment horizontal="center"/>
      <protection/>
    </xf>
    <xf numFmtId="49" fontId="3" fillId="0" borderId="0" xfId="73" applyNumberFormat="1" applyFont="1" applyAlignment="1" applyProtection="1">
      <alignment horizontal="center"/>
      <protection/>
    </xf>
    <xf numFmtId="0" fontId="0" fillId="0" borderId="0" xfId="0" applyAlignment="1">
      <alignment/>
    </xf>
    <xf numFmtId="0" fontId="66" fillId="0" borderId="0" xfId="128" applyFont="1" applyAlignment="1">
      <alignment wrapText="1"/>
      <protection/>
    </xf>
    <xf numFmtId="49" fontId="3" fillId="0" borderId="0" xfId="73" applyNumberFormat="1" applyFont="1" applyAlignment="1">
      <alignment horizontal="center"/>
    </xf>
    <xf numFmtId="0" fontId="0" fillId="0" borderId="0" xfId="0" applyAlignment="1">
      <alignment horizontal="center"/>
    </xf>
    <xf numFmtId="0" fontId="2" fillId="0" borderId="0" xfId="114" applyFont="1" applyBorder="1" applyAlignment="1">
      <alignment horizontal="center"/>
      <protection/>
    </xf>
    <xf numFmtId="0" fontId="2" fillId="0" borderId="0" xfId="0" applyFont="1" applyAlignment="1">
      <alignment horizontal="center"/>
    </xf>
    <xf numFmtId="0" fontId="2" fillId="0" borderId="0" xfId="0" applyFont="1" applyFill="1" applyAlignment="1" applyProtection="1">
      <alignment wrapText="1"/>
      <protection/>
    </xf>
    <xf numFmtId="0" fontId="0" fillId="0" borderId="0" xfId="0" applyAlignment="1" applyProtection="1">
      <alignment wrapText="1"/>
      <protection/>
    </xf>
    <xf numFmtId="0" fontId="4" fillId="0" borderId="0" xfId="114" applyFont="1" applyBorder="1" applyAlignment="1" applyProtection="1">
      <alignment horizontal="center"/>
      <protection/>
    </xf>
    <xf numFmtId="0" fontId="0" fillId="0" borderId="0" xfId="0" applyNumberFormat="1" applyAlignment="1" applyProtection="1">
      <alignment horizontal="left" wrapText="1"/>
      <protection/>
    </xf>
    <xf numFmtId="173" fontId="88" fillId="0" borderId="0" xfId="73" applyNumberFormat="1" applyFont="1" applyBorder="1" applyAlignment="1" applyProtection="1">
      <alignment horizontal="center"/>
      <protection/>
    </xf>
    <xf numFmtId="0" fontId="0" fillId="0" borderId="0" xfId="0" applyAlignment="1" applyProtection="1">
      <alignment horizontal="left" vertical="center" wrapText="1"/>
      <protection/>
    </xf>
    <xf numFmtId="172" fontId="0" fillId="0" borderId="23" xfId="127" applyFont="1" applyBorder="1" applyAlignment="1" applyProtection="1">
      <alignment wrapText="1"/>
      <protection/>
    </xf>
    <xf numFmtId="0" fontId="0" fillId="0" borderId="15" xfId="0" applyFont="1" applyBorder="1" applyAlignment="1" applyProtection="1">
      <alignment wrapText="1"/>
      <protection/>
    </xf>
    <xf numFmtId="0" fontId="0" fillId="0" borderId="24" xfId="0" applyFont="1" applyBorder="1" applyAlignment="1" applyProtection="1">
      <alignment wrapText="1"/>
      <protection/>
    </xf>
    <xf numFmtId="0" fontId="0" fillId="0" borderId="19" xfId="0" applyFont="1" applyBorder="1" applyAlignment="1" applyProtection="1">
      <alignment wrapText="1"/>
      <protection/>
    </xf>
    <xf numFmtId="0" fontId="0" fillId="0" borderId="0" xfId="0" applyFont="1" applyBorder="1" applyAlignment="1" applyProtection="1">
      <alignment wrapText="1"/>
      <protection/>
    </xf>
    <xf numFmtId="0" fontId="0" fillId="0" borderId="20" xfId="0" applyFont="1" applyBorder="1" applyAlignment="1" applyProtection="1">
      <alignment wrapText="1"/>
      <protection/>
    </xf>
    <xf numFmtId="0" fontId="0" fillId="26" borderId="0" xfId="0" applyFont="1" applyFill="1" applyBorder="1" applyAlignment="1" applyProtection="1">
      <alignment wrapText="1"/>
      <protection/>
    </xf>
    <xf numFmtId="0" fontId="0" fillId="26" borderId="0" xfId="0" applyFill="1" applyAlignment="1" applyProtection="1">
      <alignment wrapText="1"/>
      <protection/>
    </xf>
    <xf numFmtId="0" fontId="0" fillId="0" borderId="0" xfId="0" applyFont="1" applyFill="1" applyBorder="1" applyAlignment="1" applyProtection="1">
      <alignment wrapText="1"/>
      <protection/>
    </xf>
    <xf numFmtId="3" fontId="0" fillId="0" borderId="0" xfId="0" applyNumberFormat="1" applyAlignment="1" applyProtection="1">
      <alignment horizontal="center"/>
      <protection/>
    </xf>
    <xf numFmtId="0" fontId="0" fillId="0" borderId="0" xfId="124" applyFont="1" applyFill="1" applyAlignment="1" applyProtection="1">
      <alignment horizontal="left" wrapText="1"/>
      <protection/>
    </xf>
    <xf numFmtId="41" fontId="9" fillId="0" borderId="0" xfId="124" applyNumberFormat="1" applyFont="1" applyFill="1" applyBorder="1" applyAlignment="1" applyProtection="1">
      <alignment horizontal="center" wrapText="1"/>
      <protection/>
    </xf>
    <xf numFmtId="0" fontId="102" fillId="0" borderId="0" xfId="124" applyFont="1" applyFill="1" applyAlignment="1" applyProtection="1">
      <alignment horizontal="left" wrapText="1"/>
      <protection/>
    </xf>
    <xf numFmtId="0" fontId="58" fillId="0" borderId="0" xfId="0" applyFont="1" applyAlignment="1" applyProtection="1">
      <alignment horizontal="left" vertical="top" wrapText="1"/>
      <protection/>
    </xf>
    <xf numFmtId="0" fontId="9" fillId="0" borderId="0" xfId="124" applyFont="1" applyFill="1" applyAlignment="1" applyProtection="1">
      <alignment horizontal="left" vertical="top" wrapText="1"/>
      <protection/>
    </xf>
    <xf numFmtId="0" fontId="0" fillId="0" borderId="0" xfId="0" applyFont="1" applyFill="1" applyAlignment="1" applyProtection="1">
      <alignment vertical="top" wrapText="1"/>
      <protection/>
    </xf>
    <xf numFmtId="0" fontId="2" fillId="0" borderId="0" xfId="0" applyFont="1" applyFill="1" applyAlignment="1" applyProtection="1">
      <alignment horizontal="center" wrapText="1"/>
      <protection/>
    </xf>
    <xf numFmtId="0" fontId="0" fillId="0" borderId="0" xfId="0" applyAlignment="1" applyProtection="1">
      <alignment horizontal="center" wrapText="1"/>
      <protection/>
    </xf>
    <xf numFmtId="0" fontId="9" fillId="0" borderId="0" xfId="0" applyFont="1" applyAlignment="1">
      <alignment horizontal="center" wrapText="1"/>
    </xf>
    <xf numFmtId="0" fontId="8" fillId="25" borderId="0" xfId="0" applyFont="1" applyFill="1" applyAlignment="1" applyProtection="1">
      <alignment wrapText="1"/>
      <protection locked="0"/>
    </xf>
    <xf numFmtId="0" fontId="9" fillId="0" borderId="0" xfId="0" applyFont="1" applyAlignment="1">
      <alignment horizontal="left" wrapText="1"/>
    </xf>
    <xf numFmtId="3" fontId="3" fillId="0" borderId="0" xfId="114" applyNumberFormat="1" applyFont="1" applyAlignment="1">
      <alignment horizontal="center"/>
      <protection/>
    </xf>
    <xf numFmtId="0" fontId="4" fillId="0" borderId="0" xfId="114" applyFont="1" applyBorder="1" applyAlignment="1">
      <alignment horizontal="center"/>
      <protection/>
    </xf>
    <xf numFmtId="0" fontId="117" fillId="0" borderId="0" xfId="0" applyFont="1" applyAlignment="1">
      <alignment horizontal="left" vertical="center" wrapText="1"/>
    </xf>
    <xf numFmtId="0" fontId="71" fillId="0" borderId="11" xfId="130" applyFont="1" applyBorder="1" applyAlignment="1" applyProtection="1">
      <alignment wrapText="1"/>
      <protection/>
    </xf>
    <xf numFmtId="0" fontId="0" fillId="0" borderId="11" xfId="0" applyBorder="1" applyAlignment="1" applyProtection="1">
      <alignment wrapText="1"/>
      <protection/>
    </xf>
    <xf numFmtId="0" fontId="4" fillId="0" borderId="0" xfId="130" applyFont="1" applyAlignment="1" applyProtection="1">
      <alignment horizontal="left" wrapText="1"/>
      <protection/>
    </xf>
    <xf numFmtId="0" fontId="3" fillId="0" borderId="0" xfId="130" applyFont="1" applyAlignment="1" applyProtection="1">
      <alignment horizontal="left" wrapText="1"/>
      <protection/>
    </xf>
    <xf numFmtId="0" fontId="95" fillId="0" borderId="0" xfId="130" applyFont="1" applyAlignment="1" applyProtection="1">
      <alignment horizontal="center"/>
      <protection/>
    </xf>
    <xf numFmtId="0" fontId="118" fillId="0" borderId="0" xfId="130" applyFont="1" applyAlignment="1" applyProtection="1">
      <alignment horizontal="center"/>
      <protection/>
    </xf>
    <xf numFmtId="0" fontId="95" fillId="0" borderId="0" xfId="130" applyFont="1" applyFill="1" applyAlignment="1" applyProtection="1">
      <alignment horizontal="center"/>
      <protection/>
    </xf>
    <xf numFmtId="3" fontId="95" fillId="0" borderId="0" xfId="130" applyNumberFormat="1" applyFont="1" applyAlignment="1" applyProtection="1">
      <alignment horizontal="center"/>
      <protection/>
    </xf>
    <xf numFmtId="0" fontId="4" fillId="0" borderId="0" xfId="132" applyFont="1" applyAlignment="1" applyProtection="1">
      <alignment horizontal="center"/>
      <protection/>
    </xf>
    <xf numFmtId="0" fontId="0" fillId="0" borderId="0" xfId="124" applyFont="1" applyFill="1" applyAlignment="1" applyProtection="1">
      <alignment horizontal="left" vertical="top" wrapText="1"/>
      <protection/>
    </xf>
    <xf numFmtId="0" fontId="9" fillId="0" borderId="0" xfId="132" applyFont="1" applyAlignment="1" applyProtection="1">
      <alignment horizontal="center"/>
      <protection/>
    </xf>
    <xf numFmtId="0" fontId="71" fillId="0" borderId="0" xfId="0" applyFont="1" applyAlignment="1" applyProtection="1">
      <alignment horizontal="center"/>
      <protection/>
    </xf>
    <xf numFmtId="0" fontId="4" fillId="0" borderId="0" xfId="0" applyFont="1" applyFill="1" applyAlignment="1" applyProtection="1">
      <alignment horizontal="center"/>
      <protection/>
    </xf>
    <xf numFmtId="0" fontId="2" fillId="0" borderId="0" xfId="0" applyFont="1" applyFill="1" applyAlignment="1" applyProtection="1">
      <alignment horizontal="center"/>
      <protection/>
    </xf>
    <xf numFmtId="0" fontId="111" fillId="0" borderId="0" xfId="0" applyFont="1" applyFill="1" applyAlignment="1" applyProtection="1">
      <alignment horizontal="left" wrapText="1"/>
      <protection/>
    </xf>
  </cellXfs>
  <cellStyles count="1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0A" xfId="40"/>
    <cellStyle name="C00B" xfId="41"/>
    <cellStyle name="C00L" xfId="42"/>
    <cellStyle name="C01A" xfId="43"/>
    <cellStyle name="C01B" xfId="44"/>
    <cellStyle name="C01H" xfId="45"/>
    <cellStyle name="C01L" xfId="46"/>
    <cellStyle name="C02A" xfId="47"/>
    <cellStyle name="C02B" xfId="48"/>
    <cellStyle name="C02H" xfId="49"/>
    <cellStyle name="C02L" xfId="50"/>
    <cellStyle name="C03A" xfId="51"/>
    <cellStyle name="C03B" xfId="52"/>
    <cellStyle name="C03H" xfId="53"/>
    <cellStyle name="C03L" xfId="54"/>
    <cellStyle name="C04A" xfId="55"/>
    <cellStyle name="C04B" xfId="56"/>
    <cellStyle name="C04H" xfId="57"/>
    <cellStyle name="C04L" xfId="58"/>
    <cellStyle name="C05A" xfId="59"/>
    <cellStyle name="C05B" xfId="60"/>
    <cellStyle name="C05H" xfId="61"/>
    <cellStyle name="C05L" xfId="62"/>
    <cellStyle name="C06A" xfId="63"/>
    <cellStyle name="C06B" xfId="64"/>
    <cellStyle name="C06H" xfId="65"/>
    <cellStyle name="C06L" xfId="66"/>
    <cellStyle name="C07A" xfId="67"/>
    <cellStyle name="C07B" xfId="68"/>
    <cellStyle name="C07H" xfId="69"/>
    <cellStyle name="C07L" xfId="70"/>
    <cellStyle name="Calculation" xfId="71"/>
    <cellStyle name="Check Cell" xfId="72"/>
    <cellStyle name="Comma" xfId="73"/>
    <cellStyle name="Comma [0]" xfId="74"/>
    <cellStyle name="Comma 2" xfId="75"/>
    <cellStyle name="Comma 2 2" xfId="76"/>
    <cellStyle name="Comma 3" xfId="77"/>
    <cellStyle name="Comma 3 2" xfId="78"/>
    <cellStyle name="Comma 3 3" xfId="79"/>
    <cellStyle name="Comma 3 4" xfId="80"/>
    <cellStyle name="Comma 4" xfId="81"/>
    <cellStyle name="Comma 5" xfId="82"/>
    <cellStyle name="Comma_spp calc - revsd rev crd" xfId="83"/>
    <cellStyle name="Comma0" xfId="84"/>
    <cellStyle name="Currency" xfId="85"/>
    <cellStyle name="Currency [0]" xfId="86"/>
    <cellStyle name="Currency 2" xfId="87"/>
    <cellStyle name="Currency 2 2" xfId="88"/>
    <cellStyle name="Currency 3" xfId="89"/>
    <cellStyle name="Currency 3 2" xfId="90"/>
    <cellStyle name="Currency 3 3" xfId="91"/>
    <cellStyle name="Currency 3 4" xfId="92"/>
    <cellStyle name="Currency 4" xfId="93"/>
    <cellStyle name="Currency 5" xfId="94"/>
    <cellStyle name="Currency0" xfId="95"/>
    <cellStyle name="Date" xfId="96"/>
    <cellStyle name="Explanatory Text" xfId="97"/>
    <cellStyle name="Fixed" xfId="98"/>
    <cellStyle name="Followed Hyperlink" xfId="99"/>
    <cellStyle name="Good" xfId="100"/>
    <cellStyle name="Heading 1" xfId="101"/>
    <cellStyle name="Heading 2" xfId="102"/>
    <cellStyle name="Heading 3" xfId="103"/>
    <cellStyle name="Heading 4" xfId="104"/>
    <cellStyle name="Heading1" xfId="105"/>
    <cellStyle name="Heading2" xfId="106"/>
    <cellStyle name="Hyperlink" xfId="107"/>
    <cellStyle name="Input" xfId="108"/>
    <cellStyle name="Linked Cell" xfId="109"/>
    <cellStyle name="Neutral" xfId="110"/>
    <cellStyle name="Normal 2" xfId="111"/>
    <cellStyle name="Normal 2 2" xfId="112"/>
    <cellStyle name="Normal 3" xfId="113"/>
    <cellStyle name="Normal 3 2" xfId="114"/>
    <cellStyle name="Normal 3_OPCo Period I PJM  Formula Rate" xfId="115"/>
    <cellStyle name="Normal 4" xfId="116"/>
    <cellStyle name="Normal 4 2" xfId="117"/>
    <cellStyle name="Normal 4 3" xfId="118"/>
    <cellStyle name="Normal 4 4" xfId="119"/>
    <cellStyle name="Normal 4_PBOP Exhibit 1" xfId="120"/>
    <cellStyle name="Normal 5" xfId="121"/>
    <cellStyle name="Normal 5 2" xfId="122"/>
    <cellStyle name="Normal 6" xfId="123"/>
    <cellStyle name="Normal_ADITAnalysisID090805" xfId="124"/>
    <cellStyle name="Normal_AU Period 2 Rev 4-27-00" xfId="125"/>
    <cellStyle name="Normal_Copy of PATH Formula Rate 2010 Projection Filed Sept 1, 2009 R1" xfId="126"/>
    <cellStyle name="Normal_FN1 Ratebase Draft SPP template (6-11-04) v2" xfId="127"/>
    <cellStyle name="Normal_I&amp;M-AK-1" xfId="128"/>
    <cellStyle name="Normal_OPCo Period I PJM  Formula Rate" xfId="129"/>
    <cellStyle name="Normal_Revised 1-21-10  Deprec Summary" xfId="130"/>
    <cellStyle name="Normal_spp calc - revsd rev crd" xfId="131"/>
    <cellStyle name="Normal_Worksheet Q Draft dwb edits" xfId="132"/>
    <cellStyle name="Note" xfId="133"/>
    <cellStyle name="Output" xfId="134"/>
    <cellStyle name="Percent" xfId="135"/>
    <cellStyle name="Percent 2" xfId="136"/>
    <cellStyle name="Percent 2 2" xfId="137"/>
    <cellStyle name="Percent 3" xfId="138"/>
    <cellStyle name="Percent 3 2" xfId="139"/>
    <cellStyle name="Percent 3 3" xfId="140"/>
    <cellStyle name="Percent 3 4" xfId="141"/>
    <cellStyle name="Percent 4" xfId="142"/>
    <cellStyle name="Percent 4 2" xfId="143"/>
    <cellStyle name="Percent 5" xfId="144"/>
    <cellStyle name="PSChar" xfId="145"/>
    <cellStyle name="PSDate" xfId="146"/>
    <cellStyle name="PSDec" xfId="147"/>
    <cellStyle name="PSdesc" xfId="148"/>
    <cellStyle name="PSHeading" xfId="149"/>
    <cellStyle name="PSInt" xfId="150"/>
    <cellStyle name="PSSpacer" xfId="151"/>
    <cellStyle name="PStest" xfId="152"/>
    <cellStyle name="R00A" xfId="153"/>
    <cellStyle name="R00B" xfId="154"/>
    <cellStyle name="R00L" xfId="155"/>
    <cellStyle name="R01A" xfId="156"/>
    <cellStyle name="R01B" xfId="157"/>
    <cellStyle name="R01H" xfId="158"/>
    <cellStyle name="R01L" xfId="159"/>
    <cellStyle name="R02A" xfId="160"/>
    <cellStyle name="R02B" xfId="161"/>
    <cellStyle name="R02H" xfId="162"/>
    <cellStyle name="R02L" xfId="163"/>
    <cellStyle name="R03A" xfId="164"/>
    <cellStyle name="R03B" xfId="165"/>
    <cellStyle name="R03H" xfId="166"/>
    <cellStyle name="R03L" xfId="167"/>
    <cellStyle name="R04A" xfId="168"/>
    <cellStyle name="R04B" xfId="169"/>
    <cellStyle name="R04H" xfId="170"/>
    <cellStyle name="R04L" xfId="171"/>
    <cellStyle name="R05A" xfId="172"/>
    <cellStyle name="R05B" xfId="173"/>
    <cellStyle name="R05H" xfId="174"/>
    <cellStyle name="R05L" xfId="175"/>
    <cellStyle name="R06A" xfId="176"/>
    <cellStyle name="R06B" xfId="177"/>
    <cellStyle name="R06H" xfId="178"/>
    <cellStyle name="R06L" xfId="179"/>
    <cellStyle name="R07A" xfId="180"/>
    <cellStyle name="R07B" xfId="181"/>
    <cellStyle name="R07H" xfId="182"/>
    <cellStyle name="R07L" xfId="183"/>
    <cellStyle name="Title" xfId="184"/>
    <cellStyle name="Total" xfId="185"/>
    <cellStyle name="Warning Text" xfId="186"/>
  </cellStyles>
  <dxfs count="4">
    <dxf>
      <font>
        <color auto="1"/>
      </font>
      <fill>
        <patternFill>
          <bgColor indexed="35"/>
        </patternFill>
      </fill>
    </dxf>
    <dxf>
      <font>
        <color auto="1"/>
      </font>
      <fill>
        <patternFill>
          <bgColor indexed="35"/>
        </patternFill>
      </fill>
    </dxf>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1">
        <row r="100">
          <cell r="J100">
            <v>0.23250098422059287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69"/>
  <sheetViews>
    <sheetView zoomScalePageLayoutView="0" workbookViewId="0" topLeftCell="A34">
      <selection activeCell="E3" sqref="E3:N3"/>
    </sheetView>
  </sheetViews>
  <sheetFormatPr defaultColWidth="9.140625" defaultRowHeight="12.75"/>
  <cols>
    <col min="1" max="1" width="24.140625" style="0" customWidth="1"/>
    <col min="2" max="2" width="13.8515625" style="0" customWidth="1"/>
    <col min="3" max="4" width="16.140625" style="0" customWidth="1"/>
    <col min="14" max="14" width="9.8515625" style="0" bestFit="1" customWidth="1"/>
  </cols>
  <sheetData>
    <row r="1" ht="12.75">
      <c r="A1" s="247" t="s">
        <v>552</v>
      </c>
    </row>
    <row r="2" ht="12.75">
      <c r="A2" s="247"/>
    </row>
    <row r="3" spans="1:14" ht="26.25" customHeight="1">
      <c r="A3" s="181" t="s">
        <v>505</v>
      </c>
      <c r="B3" s="1217" t="s">
        <v>506</v>
      </c>
      <c r="C3" s="1217" t="s">
        <v>507</v>
      </c>
      <c r="D3" s="1217" t="s">
        <v>368</v>
      </c>
      <c r="E3" s="1218" t="s">
        <v>508</v>
      </c>
      <c r="F3" s="1218"/>
      <c r="G3" s="1218"/>
      <c r="H3" s="1218"/>
      <c r="I3" s="1218"/>
      <c r="J3" s="1218"/>
      <c r="K3" s="1218"/>
      <c r="L3" s="1218"/>
      <c r="M3" s="1218"/>
      <c r="N3" s="1218"/>
    </row>
    <row r="4" spans="2:4" ht="12.75">
      <c r="B4" s="1217"/>
      <c r="C4" s="1217"/>
      <c r="D4" s="1219"/>
    </row>
    <row r="5" spans="1:5" ht="12.75">
      <c r="A5" t="s">
        <v>320</v>
      </c>
      <c r="B5" t="s">
        <v>314</v>
      </c>
      <c r="C5" t="s">
        <v>510</v>
      </c>
      <c r="D5" s="5">
        <v>1</v>
      </c>
      <c r="E5" t="s">
        <v>504</v>
      </c>
    </row>
    <row r="6" spans="1:5" ht="12.75">
      <c r="A6" t="s">
        <v>316</v>
      </c>
      <c r="B6" t="s">
        <v>314</v>
      </c>
      <c r="C6" t="s">
        <v>510</v>
      </c>
      <c r="D6" s="5">
        <v>1</v>
      </c>
      <c r="E6" t="s">
        <v>315</v>
      </c>
    </row>
    <row r="7" ht="5.25" customHeight="1">
      <c r="D7" s="5"/>
    </row>
    <row r="8" spans="1:5" ht="12.75">
      <c r="A8" t="s">
        <v>318</v>
      </c>
      <c r="B8" t="s">
        <v>509</v>
      </c>
      <c r="C8" t="s">
        <v>511</v>
      </c>
      <c r="D8" s="5">
        <v>3</v>
      </c>
      <c r="E8" t="s">
        <v>503</v>
      </c>
    </row>
    <row r="9" spans="1:5" ht="12.75">
      <c r="A9" t="s">
        <v>316</v>
      </c>
      <c r="B9" t="s">
        <v>319</v>
      </c>
      <c r="C9" t="s">
        <v>511</v>
      </c>
      <c r="D9" s="5">
        <v>3</v>
      </c>
      <c r="E9" t="s">
        <v>317</v>
      </c>
    </row>
    <row r="10" ht="4.5" customHeight="1">
      <c r="D10" s="5"/>
    </row>
    <row r="11" spans="1:5" ht="12.75">
      <c r="A11" t="s">
        <v>539</v>
      </c>
      <c r="B11" t="s">
        <v>537</v>
      </c>
      <c r="C11" t="s">
        <v>538</v>
      </c>
      <c r="D11" s="248" t="s">
        <v>360</v>
      </c>
      <c r="E11" t="s">
        <v>540</v>
      </c>
    </row>
    <row r="12" ht="4.5" customHeight="1">
      <c r="D12" s="5"/>
    </row>
    <row r="13" spans="1:5" ht="12.75">
      <c r="A13" t="s">
        <v>544</v>
      </c>
      <c r="B13" t="s">
        <v>541</v>
      </c>
      <c r="C13" t="s">
        <v>545</v>
      </c>
      <c r="D13" s="5">
        <v>9</v>
      </c>
      <c r="E13" t="s">
        <v>546</v>
      </c>
    </row>
    <row r="14" ht="4.5" customHeight="1">
      <c r="D14" s="5"/>
    </row>
    <row r="15" spans="1:5" ht="12.75">
      <c r="A15" t="s">
        <v>539</v>
      </c>
      <c r="B15" t="s">
        <v>541</v>
      </c>
      <c r="C15" t="s">
        <v>542</v>
      </c>
      <c r="D15" s="5">
        <v>9</v>
      </c>
      <c r="E15" t="s">
        <v>543</v>
      </c>
    </row>
    <row r="16" ht="4.5" customHeight="1">
      <c r="D16" s="5"/>
    </row>
    <row r="17" spans="1:5" ht="12.75">
      <c r="A17" t="s">
        <v>320</v>
      </c>
      <c r="B17" t="s">
        <v>321</v>
      </c>
      <c r="C17" s="1216" t="s">
        <v>518</v>
      </c>
      <c r="D17" s="119" t="s">
        <v>361</v>
      </c>
      <c r="E17" t="s">
        <v>241</v>
      </c>
    </row>
    <row r="18" spans="3:4" ht="12.75">
      <c r="C18" s="1216"/>
      <c r="D18" s="119"/>
    </row>
    <row r="19" spans="1:5" ht="12.75">
      <c r="A19" t="s">
        <v>320</v>
      </c>
      <c r="B19" t="s">
        <v>265</v>
      </c>
      <c r="C19" t="s">
        <v>536</v>
      </c>
      <c r="D19" s="5">
        <v>7</v>
      </c>
      <c r="E19" t="s">
        <v>266</v>
      </c>
    </row>
    <row r="20" ht="4.5" customHeight="1">
      <c r="D20" s="5"/>
    </row>
    <row r="21" spans="1:5" ht="12.75">
      <c r="A21" t="s">
        <v>320</v>
      </c>
      <c r="B21" t="s">
        <v>547</v>
      </c>
      <c r="C21" t="s">
        <v>545</v>
      </c>
      <c r="D21" s="5">
        <v>9</v>
      </c>
      <c r="E21" t="s">
        <v>548</v>
      </c>
    </row>
    <row r="22" ht="4.5" customHeight="1">
      <c r="D22" s="5"/>
    </row>
    <row r="23" spans="1:13" ht="12.75">
      <c r="A23" t="s">
        <v>318</v>
      </c>
      <c r="B23" t="s">
        <v>262</v>
      </c>
      <c r="C23" t="s">
        <v>531</v>
      </c>
      <c r="D23" s="5">
        <v>7</v>
      </c>
      <c r="E23" s="1216" t="s">
        <v>264</v>
      </c>
      <c r="F23" s="1216"/>
      <c r="G23" s="1216"/>
      <c r="H23" s="1216"/>
      <c r="I23" s="1216"/>
      <c r="J23" s="1216"/>
      <c r="K23" s="1216"/>
      <c r="L23" s="1216"/>
      <c r="M23" s="1216"/>
    </row>
    <row r="24" spans="1:13" ht="12.75">
      <c r="A24" t="s">
        <v>316</v>
      </c>
      <c r="B24" t="s">
        <v>263</v>
      </c>
      <c r="C24" t="s">
        <v>531</v>
      </c>
      <c r="D24" s="5">
        <v>7</v>
      </c>
      <c r="E24" s="1216"/>
      <c r="F24" s="1216"/>
      <c r="G24" s="1216"/>
      <c r="H24" s="1216"/>
      <c r="I24" s="1216"/>
      <c r="J24" s="1216"/>
      <c r="K24" s="1216"/>
      <c r="L24" s="1216"/>
      <c r="M24" s="1216"/>
    </row>
    <row r="25" ht="4.5" customHeight="1">
      <c r="D25" s="5"/>
    </row>
    <row r="26" spans="1:5" ht="12.75">
      <c r="A26" t="s">
        <v>316</v>
      </c>
      <c r="B26" t="s">
        <v>322</v>
      </c>
      <c r="C26" t="s">
        <v>513</v>
      </c>
      <c r="D26" s="5">
        <v>3</v>
      </c>
      <c r="E26" t="s">
        <v>323</v>
      </c>
    </row>
    <row r="27" spans="4:14" ht="4.5" customHeight="1">
      <c r="D27" s="5"/>
      <c r="N27" s="185"/>
    </row>
    <row r="28" spans="1:5" ht="12.75">
      <c r="A28" t="s">
        <v>316</v>
      </c>
      <c r="B28" t="s">
        <v>324</v>
      </c>
      <c r="C28" t="s">
        <v>514</v>
      </c>
      <c r="D28" s="5">
        <v>4</v>
      </c>
      <c r="E28" t="s">
        <v>325</v>
      </c>
    </row>
    <row r="29" ht="4.5" customHeight="1">
      <c r="D29" s="5"/>
    </row>
    <row r="30" spans="1:14" ht="12.75">
      <c r="A30" t="s">
        <v>316</v>
      </c>
      <c r="B30" t="s">
        <v>326</v>
      </c>
      <c r="C30" t="s">
        <v>515</v>
      </c>
      <c r="D30" s="5">
        <v>4</v>
      </c>
      <c r="E30" t="s">
        <v>516</v>
      </c>
      <c r="N30" s="185"/>
    </row>
    <row r="31" spans="4:14" ht="4.5" customHeight="1">
      <c r="D31" s="5"/>
      <c r="N31" s="185"/>
    </row>
    <row r="32" spans="1:14" ht="12.75">
      <c r="A32" t="s">
        <v>267</v>
      </c>
      <c r="C32" t="s">
        <v>536</v>
      </c>
      <c r="D32" s="5">
        <v>7</v>
      </c>
      <c r="E32" t="s">
        <v>533</v>
      </c>
      <c r="N32" s="185"/>
    </row>
    <row r="33" spans="4:14" ht="4.5" customHeight="1">
      <c r="D33" s="5"/>
      <c r="N33" s="185"/>
    </row>
    <row r="34" spans="1:14" ht="12.75">
      <c r="A34" t="s">
        <v>269</v>
      </c>
      <c r="C34" t="s">
        <v>536</v>
      </c>
      <c r="D34" s="5">
        <v>7</v>
      </c>
      <c r="E34" t="s">
        <v>534</v>
      </c>
      <c r="N34" s="185"/>
    </row>
    <row r="35" spans="4:14" ht="4.5" customHeight="1">
      <c r="D35" s="5"/>
      <c r="N35" s="185"/>
    </row>
    <row r="36" spans="1:14" ht="12.75" customHeight="1">
      <c r="A36" t="s">
        <v>269</v>
      </c>
      <c r="C36" t="s">
        <v>365</v>
      </c>
      <c r="D36" s="5">
        <v>7</v>
      </c>
      <c r="E36" t="s">
        <v>364</v>
      </c>
      <c r="N36" s="185"/>
    </row>
    <row r="37" spans="4:14" ht="4.5" customHeight="1">
      <c r="D37" s="5"/>
      <c r="N37" s="185"/>
    </row>
    <row r="38" spans="1:14" ht="12.75">
      <c r="A38" t="s">
        <v>270</v>
      </c>
      <c r="C38" t="s">
        <v>536</v>
      </c>
      <c r="D38" s="5">
        <v>7</v>
      </c>
      <c r="E38" t="s">
        <v>535</v>
      </c>
      <c r="N38" s="158"/>
    </row>
    <row r="39" spans="4:14" ht="3.75" customHeight="1">
      <c r="D39" s="5"/>
      <c r="N39" s="158"/>
    </row>
    <row r="40" spans="1:14" ht="12.75">
      <c r="A40" t="s">
        <v>271</v>
      </c>
      <c r="C40" t="s">
        <v>532</v>
      </c>
      <c r="D40" s="5">
        <v>8</v>
      </c>
      <c r="E40" t="s">
        <v>521</v>
      </c>
      <c r="N40" s="158"/>
    </row>
    <row r="41" spans="1:14" ht="12.75">
      <c r="A41" t="s">
        <v>271</v>
      </c>
      <c r="C41" t="s">
        <v>532</v>
      </c>
      <c r="D41" s="5">
        <v>8</v>
      </c>
      <c r="E41" t="s">
        <v>273</v>
      </c>
      <c r="N41" s="158"/>
    </row>
    <row r="42" spans="1:12" ht="12.75">
      <c r="A42" t="s">
        <v>271</v>
      </c>
      <c r="C42" t="s">
        <v>532</v>
      </c>
      <c r="D42" s="5">
        <v>8</v>
      </c>
      <c r="E42" s="1216" t="s">
        <v>272</v>
      </c>
      <c r="F42" s="1216"/>
      <c r="G42" s="1216"/>
      <c r="H42" s="1216"/>
      <c r="I42" s="1216"/>
      <c r="J42" s="1216"/>
      <c r="K42" s="1216"/>
      <c r="L42" s="1216"/>
    </row>
    <row r="43" spans="4:12" ht="12.75">
      <c r="D43" s="5"/>
      <c r="E43" s="1216"/>
      <c r="F43" s="1216"/>
      <c r="G43" s="1216"/>
      <c r="H43" s="1216"/>
      <c r="I43" s="1216"/>
      <c r="J43" s="1216"/>
      <c r="K43" s="1216"/>
      <c r="L43" s="1216"/>
    </row>
    <row r="44" spans="4:12" ht="4.5" customHeight="1">
      <c r="D44" s="5"/>
      <c r="E44" s="48"/>
      <c r="F44" s="48"/>
      <c r="G44" s="48"/>
      <c r="H44" s="48"/>
      <c r="I44" s="48"/>
      <c r="J44" s="48"/>
      <c r="K44" s="48"/>
      <c r="L44" s="48"/>
    </row>
    <row r="45" spans="1:12" ht="12.75">
      <c r="A45" t="s">
        <v>522</v>
      </c>
      <c r="C45" t="s">
        <v>531</v>
      </c>
      <c r="D45" s="5">
        <v>7</v>
      </c>
      <c r="E45" s="1216" t="s">
        <v>523</v>
      </c>
      <c r="F45" s="1216"/>
      <c r="G45" s="1216"/>
      <c r="H45" s="1216"/>
      <c r="I45" s="1216"/>
      <c r="J45" s="1216"/>
      <c r="K45" s="1216"/>
      <c r="L45" s="1216"/>
    </row>
    <row r="46" spans="4:12" ht="12.75">
      <c r="D46" s="5"/>
      <c r="E46" s="1216"/>
      <c r="F46" s="1216"/>
      <c r="G46" s="1216"/>
      <c r="H46" s="1216"/>
      <c r="I46" s="1216"/>
      <c r="J46" s="1216"/>
      <c r="K46" s="1216"/>
      <c r="L46" s="1216"/>
    </row>
    <row r="47" ht="4.5" customHeight="1">
      <c r="D47" s="5"/>
    </row>
    <row r="48" spans="1:5" ht="12.75">
      <c r="A48" t="s">
        <v>274</v>
      </c>
      <c r="C48" t="s">
        <v>530</v>
      </c>
      <c r="D48" s="5">
        <v>8</v>
      </c>
      <c r="E48" t="s">
        <v>276</v>
      </c>
    </row>
    <row r="49" spans="1:5" ht="12.75">
      <c r="A49" t="s">
        <v>274</v>
      </c>
      <c r="C49" t="s">
        <v>530</v>
      </c>
      <c r="D49" s="5">
        <v>8</v>
      </c>
      <c r="E49" t="s">
        <v>278</v>
      </c>
    </row>
    <row r="50" ht="4.5" customHeight="1">
      <c r="D50" s="5"/>
    </row>
    <row r="51" spans="1:12" ht="12.75">
      <c r="A51" t="s">
        <v>55</v>
      </c>
      <c r="C51" t="s">
        <v>56</v>
      </c>
      <c r="D51" s="5">
        <v>8</v>
      </c>
      <c r="E51" s="1216" t="s">
        <v>59</v>
      </c>
      <c r="F51" s="1216"/>
      <c r="G51" s="1216"/>
      <c r="H51" s="1216"/>
      <c r="I51" s="1216"/>
      <c r="J51" s="1216"/>
      <c r="K51" s="1216"/>
      <c r="L51" s="1216"/>
    </row>
    <row r="52" spans="4:12" ht="12.75" customHeight="1">
      <c r="D52" s="5"/>
      <c r="E52" s="1216"/>
      <c r="F52" s="1216"/>
      <c r="G52" s="1216"/>
      <c r="H52" s="1216"/>
      <c r="I52" s="1216"/>
      <c r="J52" s="1216"/>
      <c r="K52" s="1216"/>
      <c r="L52" s="1216"/>
    </row>
    <row r="53" spans="4:12" ht="3.75" customHeight="1">
      <c r="D53" s="5"/>
      <c r="E53" s="48"/>
      <c r="F53" s="48"/>
      <c r="G53" s="48"/>
      <c r="H53" s="48"/>
      <c r="I53" s="48"/>
      <c r="J53" s="48"/>
      <c r="K53" s="48"/>
      <c r="L53" s="48"/>
    </row>
    <row r="54" spans="1:5" ht="12.75">
      <c r="A54" t="s">
        <v>387</v>
      </c>
      <c r="C54" t="s">
        <v>524</v>
      </c>
      <c r="D54" s="5">
        <v>5</v>
      </c>
      <c r="E54" t="s">
        <v>517</v>
      </c>
    </row>
    <row r="55" ht="4.5" customHeight="1">
      <c r="D55" s="5"/>
    </row>
    <row r="56" spans="1:5" ht="12.75">
      <c r="A56" t="s">
        <v>387</v>
      </c>
      <c r="C56" t="s">
        <v>525</v>
      </c>
      <c r="D56" s="5">
        <v>5</v>
      </c>
      <c r="E56" t="s">
        <v>520</v>
      </c>
    </row>
    <row r="57" ht="4.5" customHeight="1">
      <c r="D57" s="5"/>
    </row>
    <row r="58" spans="1:5" ht="12.75">
      <c r="A58" t="s">
        <v>387</v>
      </c>
      <c r="C58" t="s">
        <v>526</v>
      </c>
      <c r="D58" s="5">
        <v>5</v>
      </c>
      <c r="E58" t="s">
        <v>389</v>
      </c>
    </row>
    <row r="59" ht="4.5" customHeight="1">
      <c r="D59" s="5"/>
    </row>
    <row r="60" spans="1:5" ht="12.75">
      <c r="A60" t="s">
        <v>387</v>
      </c>
      <c r="C60" t="s">
        <v>527</v>
      </c>
      <c r="D60" s="5">
        <v>5</v>
      </c>
      <c r="E60" t="s">
        <v>519</v>
      </c>
    </row>
    <row r="61" ht="4.5" customHeight="1">
      <c r="D61" s="5"/>
    </row>
    <row r="62" spans="1:5" ht="12.75">
      <c r="A62" t="s">
        <v>390</v>
      </c>
      <c r="C62" t="s">
        <v>512</v>
      </c>
      <c r="D62" s="5">
        <v>2</v>
      </c>
      <c r="E62" t="s">
        <v>392</v>
      </c>
    </row>
    <row r="63" ht="4.5" customHeight="1">
      <c r="D63" s="5"/>
    </row>
    <row r="64" spans="1:5" ht="12.75">
      <c r="A64" t="s">
        <v>390</v>
      </c>
      <c r="C64" t="s">
        <v>528</v>
      </c>
      <c r="D64" s="5">
        <v>2</v>
      </c>
      <c r="E64" t="s">
        <v>391</v>
      </c>
    </row>
    <row r="65" ht="4.5" customHeight="1">
      <c r="D65" s="5"/>
    </row>
    <row r="66" spans="1:5" ht="12.75">
      <c r="A66" t="s">
        <v>385</v>
      </c>
      <c r="C66" t="s">
        <v>529</v>
      </c>
      <c r="D66" s="5">
        <v>4</v>
      </c>
      <c r="E66" t="s">
        <v>386</v>
      </c>
    </row>
    <row r="67" ht="4.5" customHeight="1">
      <c r="D67" s="5"/>
    </row>
    <row r="68" spans="1:5" ht="12.75">
      <c r="A68" t="s">
        <v>381</v>
      </c>
      <c r="E68" t="s">
        <v>383</v>
      </c>
    </row>
    <row r="69" ht="12.75">
      <c r="E69" t="s">
        <v>384</v>
      </c>
    </row>
  </sheetData>
  <sheetProtection/>
  <mergeCells count="9">
    <mergeCell ref="E51:L52"/>
    <mergeCell ref="B3:B4"/>
    <mergeCell ref="C3:C4"/>
    <mergeCell ref="E3:N3"/>
    <mergeCell ref="D3:D4"/>
    <mergeCell ref="E42:L43"/>
    <mergeCell ref="C17:C18"/>
    <mergeCell ref="E45:L46"/>
    <mergeCell ref="E23:M24"/>
  </mergeCells>
  <printOptions/>
  <pageMargins left="0.75" right="0.75" top="0.4" bottom="0.49" header="0.18" footer="0.21"/>
  <pageSetup fitToHeight="1" fitToWidth="1" horizontalDpi="600" verticalDpi="600" orientation="landscape" scale="76" r:id="rId1"/>
</worksheet>
</file>

<file path=xl/worksheets/sheet10.xml><?xml version="1.0" encoding="utf-8"?>
<worksheet xmlns="http://schemas.openxmlformats.org/spreadsheetml/2006/main" xmlns:r="http://schemas.openxmlformats.org/officeDocument/2006/relationships">
  <sheetPr>
    <tabColor rgb="FFCCFFFF"/>
  </sheetPr>
  <dimension ref="A1:AC192"/>
  <sheetViews>
    <sheetView view="pageBreakPreview" zoomScale="60" zoomScaleNormal="80" zoomScalePageLayoutView="0" workbookViewId="0" topLeftCell="A1">
      <selection activeCell="E20" sqref="E20"/>
    </sheetView>
  </sheetViews>
  <sheetFormatPr defaultColWidth="9.140625" defaultRowHeight="12.75"/>
  <cols>
    <col min="1" max="1" width="7.28125" style="777" customWidth="1"/>
    <col min="2" max="2" width="1.7109375" style="707" customWidth="1"/>
    <col min="3" max="3" width="62.421875" style="707" customWidth="1"/>
    <col min="4" max="4" width="11.00390625" style="707" customWidth="1"/>
    <col min="5" max="5" width="20.421875" style="778" customWidth="1"/>
    <col min="6" max="6" width="1.7109375" style="702" customWidth="1"/>
    <col min="7" max="7" width="20.00390625" style="702" bestFit="1" customWidth="1"/>
    <col min="8" max="8" width="1.7109375" style="702" customWidth="1"/>
    <col min="9" max="9" width="21.421875" style="702" customWidth="1"/>
    <col min="10" max="10" width="1.7109375" style="702" customWidth="1"/>
    <col min="11" max="11" width="17.7109375" style="702" bestFit="1" customWidth="1"/>
    <col min="12" max="12" width="3.421875" style="702" customWidth="1"/>
    <col min="13" max="13" width="22.57421875" style="702" customWidth="1"/>
    <col min="14" max="14" width="1.28515625" style="702" customWidth="1"/>
    <col min="15" max="15" width="22.140625" style="703" customWidth="1"/>
    <col min="16" max="16384" width="9.140625" style="702" customWidth="1"/>
  </cols>
  <sheetData>
    <row r="1" spans="1:13" ht="18.75" customHeight="1">
      <c r="A1" s="1247" t="str">
        <f>TCOS!$F$3</f>
        <v>AEPTCo subsidiaries in PJM</v>
      </c>
      <c r="B1" s="1247" t="str">
        <f>TCOS!$F$3</f>
        <v>AEPTCo subsidiaries in PJM</v>
      </c>
      <c r="C1" s="1247" t="str">
        <f>TCOS!$F$3</f>
        <v>AEPTCo subsidiaries in PJM</v>
      </c>
      <c r="D1" s="1247" t="str">
        <f>TCOS!$F$3</f>
        <v>AEPTCo subsidiaries in PJM</v>
      </c>
      <c r="E1" s="1247" t="str">
        <f>TCOS!$F$3</f>
        <v>AEPTCo subsidiaries in PJM</v>
      </c>
      <c r="F1" s="1247" t="str">
        <f>TCOS!$F$3</f>
        <v>AEPTCo subsidiaries in PJM</v>
      </c>
      <c r="G1" s="1247" t="str">
        <f>TCOS!$F$3</f>
        <v>AEPTCo subsidiaries in PJM</v>
      </c>
      <c r="H1" s="1247" t="str">
        <f>TCOS!$F$3</f>
        <v>AEPTCo subsidiaries in PJM</v>
      </c>
      <c r="I1" s="1247" t="str">
        <f>TCOS!$F$3</f>
        <v>AEPTCo subsidiaries in PJM</v>
      </c>
      <c r="J1" s="1247" t="str">
        <f>TCOS!$F$3</f>
        <v>AEPTCo subsidiaries in PJM</v>
      </c>
      <c r="K1" s="1247" t="str">
        <f>TCOS!$F$3</f>
        <v>AEPTCo subsidiaries in PJM</v>
      </c>
      <c r="L1" s="1247" t="str">
        <f>TCOS!$F$3</f>
        <v>AEPTCo subsidiaries in PJM</v>
      </c>
      <c r="M1" s="1247" t="str">
        <f>TCOS!$F$3</f>
        <v>AEPTCo subsidiaries in PJM</v>
      </c>
    </row>
    <row r="2" spans="1:13" ht="18.75" customHeight="1">
      <c r="A2" s="1246" t="str">
        <f>"Cost of Service Formula Rate Using Actual/Projected FF1 Balances"</f>
        <v>Cost of Service Formula Rate Using Actual/Projected FF1 Balances</v>
      </c>
      <c r="B2" s="1246"/>
      <c r="C2" s="1246"/>
      <c r="D2" s="1246"/>
      <c r="E2" s="1246"/>
      <c r="F2" s="1246"/>
      <c r="G2" s="1246"/>
      <c r="H2" s="1246"/>
      <c r="I2" s="1246"/>
      <c r="J2" s="1246"/>
      <c r="K2" s="1246"/>
      <c r="L2" s="1246"/>
      <c r="M2" s="1246"/>
    </row>
    <row r="3" spans="1:13" ht="18.75" customHeight="1">
      <c r="A3" s="1246" t="s">
        <v>349</v>
      </c>
      <c r="B3" s="1246"/>
      <c r="C3" s="1246"/>
      <c r="D3" s="1246"/>
      <c r="E3" s="1246"/>
      <c r="F3" s="1246"/>
      <c r="G3" s="1246"/>
      <c r="H3" s="1246"/>
      <c r="I3" s="1246"/>
      <c r="J3" s="1246"/>
      <c r="K3" s="1246"/>
      <c r="L3" s="1246"/>
      <c r="M3" s="1246"/>
    </row>
    <row r="4" spans="1:13" ht="18" customHeight="1">
      <c r="A4" s="1273" t="str">
        <f>+TCOS!F7</f>
        <v>AEP APPALACHIAN TRANSMISSION COMPANY</v>
      </c>
      <c r="B4" s="1273"/>
      <c r="C4" s="1273"/>
      <c r="D4" s="1273"/>
      <c r="E4" s="1273"/>
      <c r="F4" s="1273"/>
      <c r="G4" s="1273"/>
      <c r="H4" s="1273"/>
      <c r="I4" s="1273"/>
      <c r="J4" s="1273"/>
      <c r="K4" s="1273"/>
      <c r="L4" s="1273"/>
      <c r="M4" s="1273"/>
    </row>
    <row r="5" spans="1:13" ht="18" customHeight="1">
      <c r="A5" s="1265"/>
      <c r="B5" s="1265"/>
      <c r="C5" s="1265"/>
      <c r="D5" s="1265"/>
      <c r="E5" s="1265"/>
      <c r="F5" s="1265"/>
      <c r="G5" s="1265"/>
      <c r="H5" s="1265"/>
      <c r="I5" s="1265"/>
      <c r="J5" s="1265"/>
      <c r="K5" s="1265"/>
      <c r="L5" s="1265"/>
      <c r="M5" s="1265"/>
    </row>
    <row r="6" spans="1:13" ht="18" customHeight="1">
      <c r="A6" s="1269"/>
      <c r="B6" s="1269"/>
      <c r="C6" s="1269"/>
      <c r="D6" s="1269"/>
      <c r="E6" s="1269"/>
      <c r="F6" s="1269"/>
      <c r="G6" s="1269"/>
      <c r="H6" s="1269"/>
      <c r="I6" s="1269"/>
      <c r="J6" s="1269"/>
      <c r="K6" s="1269"/>
      <c r="L6" s="1269"/>
      <c r="M6" s="1269"/>
    </row>
    <row r="7" spans="1:13" ht="18" customHeight="1">
      <c r="A7" s="654"/>
      <c r="B7" s="654"/>
      <c r="C7" s="654"/>
      <c r="D7" s="654"/>
      <c r="E7" s="654"/>
      <c r="F7" s="654"/>
      <c r="G7" s="654"/>
      <c r="H7" s="654"/>
      <c r="I7" s="654"/>
      <c r="J7" s="654"/>
      <c r="K7" s="654"/>
      <c r="L7" s="654"/>
      <c r="M7" s="654"/>
    </row>
    <row r="8" spans="1:13" ht="19.5" customHeight="1">
      <c r="A8" s="704"/>
      <c r="B8" s="705"/>
      <c r="C8" s="706" t="s">
        <v>683</v>
      </c>
      <c r="E8" s="706" t="s">
        <v>684</v>
      </c>
      <c r="G8" s="706" t="s">
        <v>685</v>
      </c>
      <c r="I8" s="706" t="s">
        <v>686</v>
      </c>
      <c r="K8" s="706" t="s">
        <v>606</v>
      </c>
      <c r="M8" s="706" t="s">
        <v>607</v>
      </c>
    </row>
    <row r="9" spans="1:29" ht="18">
      <c r="A9" s="708"/>
      <c r="B9" s="709"/>
      <c r="C9" s="709"/>
      <c r="D9" s="709"/>
      <c r="E9" s="352"/>
      <c r="F9" s="352"/>
      <c r="G9" s="352"/>
      <c r="H9" s="352"/>
      <c r="I9" s="352"/>
      <c r="J9" s="352"/>
      <c r="K9" s="352"/>
      <c r="L9" s="352"/>
      <c r="M9" s="352"/>
      <c r="Q9" s="573"/>
      <c r="R9" s="573"/>
      <c r="S9" s="573"/>
      <c r="T9" s="573"/>
      <c r="U9" s="573"/>
      <c r="V9" s="573"/>
      <c r="W9" s="573"/>
      <c r="X9" s="573"/>
      <c r="Y9" s="573"/>
      <c r="Z9" s="573"/>
      <c r="AA9" s="573"/>
      <c r="AB9" s="573"/>
      <c r="AC9" s="573"/>
    </row>
    <row r="10" spans="1:13" ht="19.5">
      <c r="A10" s="708" t="s">
        <v>690</v>
      </c>
      <c r="B10" s="709"/>
      <c r="C10" s="709"/>
      <c r="D10" s="709"/>
      <c r="E10" s="710" t="s">
        <v>641</v>
      </c>
      <c r="F10" s="708"/>
      <c r="G10" s="708"/>
      <c r="H10" s="708"/>
      <c r="I10" s="708"/>
      <c r="J10" s="708"/>
      <c r="K10" s="711"/>
      <c r="L10" s="711"/>
      <c r="M10" s="712"/>
    </row>
    <row r="11" spans="1:13" ht="19.5">
      <c r="A11" s="713" t="s">
        <v>640</v>
      </c>
      <c r="B11" s="709"/>
      <c r="C11" s="713" t="s">
        <v>154</v>
      </c>
      <c r="D11" s="709"/>
      <c r="E11" s="714" t="s">
        <v>724</v>
      </c>
      <c r="F11" s="708"/>
      <c r="G11" s="713" t="s">
        <v>158</v>
      </c>
      <c r="H11" s="708"/>
      <c r="I11" s="713" t="s">
        <v>682</v>
      </c>
      <c r="J11" s="708"/>
      <c r="K11" s="715" t="s">
        <v>702</v>
      </c>
      <c r="L11" s="716"/>
      <c r="M11" s="715" t="s">
        <v>159</v>
      </c>
    </row>
    <row r="12" spans="1:12" ht="19.5">
      <c r="A12" s="717"/>
      <c r="B12" s="705"/>
      <c r="C12" s="718"/>
      <c r="D12" s="718"/>
      <c r="E12" s="718" t="s">
        <v>499</v>
      </c>
      <c r="F12" s="718"/>
      <c r="G12" s="718"/>
      <c r="H12" s="718"/>
      <c r="I12" s="718"/>
      <c r="J12" s="718"/>
      <c r="K12" s="719"/>
      <c r="L12" s="719"/>
    </row>
    <row r="13" spans="1:12" ht="19.5">
      <c r="A13" s="704"/>
      <c r="B13" s="705"/>
      <c r="C13" s="705"/>
      <c r="D13" s="705"/>
      <c r="E13" s="720"/>
      <c r="F13" s="721"/>
      <c r="G13" s="721"/>
      <c r="H13" s="721"/>
      <c r="I13" s="722"/>
      <c r="J13" s="721"/>
      <c r="K13" s="719"/>
      <c r="L13" s="719"/>
    </row>
    <row r="14" spans="1:13" ht="19.5">
      <c r="A14" s="704">
        <v>1</v>
      </c>
      <c r="B14" s="705"/>
      <c r="C14" s="723" t="s">
        <v>170</v>
      </c>
      <c r="D14" s="705"/>
      <c r="E14" s="719"/>
      <c r="F14" s="719"/>
      <c r="G14" s="724"/>
      <c r="H14" s="724"/>
      <c r="I14" s="724"/>
      <c r="J14" s="724"/>
      <c r="K14" s="724"/>
      <c r="L14" s="724"/>
      <c r="M14" s="725"/>
    </row>
    <row r="15" spans="1:13" ht="19.5">
      <c r="A15" s="704">
        <f>+A14+1</f>
        <v>2</v>
      </c>
      <c r="B15" s="705"/>
      <c r="C15" s="719" t="s">
        <v>155</v>
      </c>
      <c r="D15" s="705"/>
      <c r="E15" s="726">
        <f>+'WS H-p2 Detail of Tax Amts'!E12</f>
        <v>0</v>
      </c>
      <c r="F15" s="719"/>
      <c r="G15" s="724"/>
      <c r="H15" s="724"/>
      <c r="I15" s="724"/>
      <c r="J15" s="724"/>
      <c r="K15" s="724"/>
      <c r="L15" s="724"/>
      <c r="M15" s="725">
        <f>+E15</f>
        <v>0</v>
      </c>
    </row>
    <row r="16" spans="1:13" ht="19.5">
      <c r="A16" s="704"/>
      <c r="B16" s="705"/>
      <c r="C16" s="711"/>
      <c r="D16" s="705"/>
      <c r="E16" s="727"/>
      <c r="F16" s="719"/>
      <c r="G16" s="724"/>
      <c r="H16" s="724"/>
      <c r="I16" s="724"/>
      <c r="J16" s="724"/>
      <c r="K16" s="724"/>
      <c r="L16" s="724"/>
      <c r="M16" s="725"/>
    </row>
    <row r="17" spans="1:13" ht="19.5">
      <c r="A17" s="704">
        <f>+A15+1</f>
        <v>3</v>
      </c>
      <c r="B17" s="705"/>
      <c r="C17" s="723" t="s">
        <v>171</v>
      </c>
      <c r="D17" s="705"/>
      <c r="E17" s="727"/>
      <c r="F17" s="719"/>
      <c r="G17" s="724"/>
      <c r="H17" s="724"/>
      <c r="I17" s="724"/>
      <c r="J17" s="724"/>
      <c r="K17" s="724"/>
      <c r="L17" s="724"/>
      <c r="M17" s="725"/>
    </row>
    <row r="18" spans="1:15" ht="19.5">
      <c r="A18" s="704">
        <f>+A17+1</f>
        <v>4</v>
      </c>
      <c r="B18" s="705"/>
      <c r="C18" s="721" t="s">
        <v>939</v>
      </c>
      <c r="D18" s="721"/>
      <c r="E18" s="726">
        <f>'WS H-p2 Detail of Tax Amts'!E17</f>
        <v>0</v>
      </c>
      <c r="F18" s="721"/>
      <c r="G18" s="724">
        <f>+E18</f>
        <v>0</v>
      </c>
      <c r="H18" s="724"/>
      <c r="I18" s="724"/>
      <c r="J18" s="724"/>
      <c r="K18" s="724"/>
      <c r="L18" s="724"/>
      <c r="M18" s="725"/>
      <c r="O18" s="352"/>
    </row>
    <row r="19" spans="1:15" ht="19.5">
      <c r="A19" s="704">
        <f>+A18+1</f>
        <v>5</v>
      </c>
      <c r="B19" s="705"/>
      <c r="C19" s="721" t="s">
        <v>940</v>
      </c>
      <c r="D19" s="721"/>
      <c r="E19" s="726">
        <f>'WS H-p2 Detail of Tax Amts'!E24</f>
        <v>0</v>
      </c>
      <c r="F19" s="721"/>
      <c r="G19" s="724">
        <f>+E19</f>
        <v>0</v>
      </c>
      <c r="H19" s="724"/>
      <c r="I19" s="724"/>
      <c r="J19" s="724"/>
      <c r="K19" s="724"/>
      <c r="L19" s="724"/>
      <c r="M19" s="725"/>
      <c r="O19" s="352"/>
    </row>
    <row r="20" spans="1:15" ht="19.5">
      <c r="A20" s="704">
        <f>+A19+1</f>
        <v>6</v>
      </c>
      <c r="B20" s="705"/>
      <c r="C20" s="721" t="s">
        <v>941</v>
      </c>
      <c r="D20" s="721"/>
      <c r="E20" s="726">
        <f>'WS H-p2 Detail of Tax Amts'!E31</f>
        <v>6130</v>
      </c>
      <c r="F20" s="721"/>
      <c r="G20" s="724">
        <f>+E20</f>
        <v>6130</v>
      </c>
      <c r="H20" s="724"/>
      <c r="I20" s="724"/>
      <c r="J20" s="724"/>
      <c r="K20" s="724"/>
      <c r="L20" s="724"/>
      <c r="M20" s="725"/>
      <c r="O20" s="352"/>
    </row>
    <row r="21" spans="1:15" ht="19.5">
      <c r="A21" s="704">
        <f>+A20+1</f>
        <v>7</v>
      </c>
      <c r="B21" s="705"/>
      <c r="C21" s="721" t="s">
        <v>344</v>
      </c>
      <c r="D21" s="728"/>
      <c r="E21" s="726">
        <f>+'WS H-p2 Detail of Tax Amts'!E34</f>
        <v>0</v>
      </c>
      <c r="F21" s="719"/>
      <c r="G21" s="724">
        <f>+E21</f>
        <v>0</v>
      </c>
      <c r="H21" s="724"/>
      <c r="I21" s="724"/>
      <c r="J21" s="724"/>
      <c r="K21" s="724"/>
      <c r="L21" s="724"/>
      <c r="M21" s="725"/>
      <c r="O21" s="352"/>
    </row>
    <row r="22" spans="1:15" ht="19.5">
      <c r="A22" s="704"/>
      <c r="B22" s="705"/>
      <c r="C22" s="711"/>
      <c r="D22" s="705"/>
      <c r="E22" s="727"/>
      <c r="F22" s="719"/>
      <c r="G22" s="724"/>
      <c r="H22" s="724"/>
      <c r="I22" s="724"/>
      <c r="J22" s="724"/>
      <c r="K22" s="724"/>
      <c r="L22" s="724"/>
      <c r="M22" s="725"/>
      <c r="O22" s="729"/>
    </row>
    <row r="23" spans="1:15" ht="19.5">
      <c r="A23" s="704">
        <f>+A21+1</f>
        <v>8</v>
      </c>
      <c r="B23" s="705"/>
      <c r="C23" s="723" t="s">
        <v>172</v>
      </c>
      <c r="D23" s="705"/>
      <c r="E23" s="727"/>
      <c r="F23" s="719"/>
      <c r="G23" s="724"/>
      <c r="H23" s="724"/>
      <c r="I23" s="724"/>
      <c r="J23" s="724"/>
      <c r="K23" s="724"/>
      <c r="L23" s="724"/>
      <c r="M23" s="725"/>
      <c r="O23" s="729"/>
    </row>
    <row r="24" spans="1:15" ht="19.5">
      <c r="A24" s="704">
        <f>+A23+1</f>
        <v>9</v>
      </c>
      <c r="B24" s="705"/>
      <c r="C24" s="721" t="s">
        <v>168</v>
      </c>
      <c r="D24" s="705"/>
      <c r="E24" s="726">
        <f>+'WS H-p2 Detail of Tax Amts'!E37</f>
        <v>0</v>
      </c>
      <c r="F24" s="719"/>
      <c r="G24" s="724"/>
      <c r="H24" s="724"/>
      <c r="I24" s="724">
        <f>+E24</f>
        <v>0</v>
      </c>
      <c r="J24" s="724"/>
      <c r="K24" s="724"/>
      <c r="L24" s="724"/>
      <c r="M24" s="725"/>
      <c r="O24" s="729"/>
    </row>
    <row r="25" spans="1:13" ht="19.5">
      <c r="A25" s="704">
        <f>+A24+1</f>
        <v>10</v>
      </c>
      <c r="B25" s="705"/>
      <c r="C25" s="721" t="s">
        <v>161</v>
      </c>
      <c r="D25" s="705"/>
      <c r="E25" s="726">
        <f>+'WS H-p2 Detail of Tax Amts'!E39</f>
        <v>0</v>
      </c>
      <c r="F25" s="719"/>
      <c r="G25" s="719"/>
      <c r="H25" s="719"/>
      <c r="I25" s="725">
        <f>+E25</f>
        <v>0</v>
      </c>
      <c r="J25" s="721"/>
      <c r="K25" s="719"/>
      <c r="L25" s="719"/>
      <c r="M25" s="725"/>
    </row>
    <row r="26" spans="1:13" ht="19.5">
      <c r="A26" s="704">
        <f>+A25+1</f>
        <v>11</v>
      </c>
      <c r="B26" s="705"/>
      <c r="C26" s="721" t="s">
        <v>162</v>
      </c>
      <c r="D26" s="705"/>
      <c r="E26" s="726">
        <f>+'WS H-p2 Detail of Tax Amts'!E41</f>
        <v>0</v>
      </c>
      <c r="F26" s="719"/>
      <c r="G26" s="719"/>
      <c r="H26" s="719"/>
      <c r="I26" s="725">
        <f>+E26</f>
        <v>0</v>
      </c>
      <c r="J26" s="720"/>
      <c r="K26" s="719"/>
      <c r="L26" s="719"/>
      <c r="M26" s="725"/>
    </row>
    <row r="27" spans="1:13" ht="19.5">
      <c r="A27" s="704" t="s">
        <v>637</v>
      </c>
      <c r="B27" s="705"/>
      <c r="C27" s="719"/>
      <c r="D27" s="705"/>
      <c r="E27" s="727"/>
      <c r="F27" s="719"/>
      <c r="G27" s="719"/>
      <c r="H27" s="719"/>
      <c r="I27" s="730"/>
      <c r="J27" s="731"/>
      <c r="K27" s="732"/>
      <c r="L27" s="732"/>
      <c r="M27" s="725"/>
    </row>
    <row r="28" spans="1:13" ht="19.5">
      <c r="A28" s="704">
        <f>A26+1</f>
        <v>12</v>
      </c>
      <c r="B28" s="705"/>
      <c r="C28" s="733" t="s">
        <v>471</v>
      </c>
      <c r="D28" s="705"/>
      <c r="E28" s="734"/>
      <c r="F28" s="735"/>
      <c r="G28" s="735"/>
      <c r="H28" s="735"/>
      <c r="I28" s="736"/>
      <c r="J28" s="737"/>
      <c r="K28" s="738"/>
      <c r="L28" s="738"/>
      <c r="M28" s="739"/>
    </row>
    <row r="29" spans="1:13" ht="19.5">
      <c r="A29" s="704">
        <f>A28+1</f>
        <v>13</v>
      </c>
      <c r="B29" s="705"/>
      <c r="C29" s="740" t="s">
        <v>300</v>
      </c>
      <c r="D29" s="728"/>
      <c r="E29" s="726">
        <f>+'WS H-p2 Detail of Tax Amts'!E46</f>
        <v>0</v>
      </c>
      <c r="F29" s="740"/>
      <c r="G29" s="719"/>
      <c r="H29" s="719"/>
      <c r="I29" s="730"/>
      <c r="J29" s="731"/>
      <c r="K29" s="732"/>
      <c r="L29" s="732"/>
      <c r="M29" s="725">
        <f>E29</f>
        <v>0</v>
      </c>
    </row>
    <row r="30" spans="1:13" ht="19.5">
      <c r="A30" s="704"/>
      <c r="B30" s="705"/>
      <c r="C30" s="719"/>
      <c r="D30" s="705"/>
      <c r="E30" s="727"/>
      <c r="F30" s="719"/>
      <c r="G30" s="719"/>
      <c r="H30" s="719"/>
      <c r="I30" s="730"/>
      <c r="J30" s="731"/>
      <c r="K30" s="732"/>
      <c r="L30" s="732"/>
      <c r="M30" s="725"/>
    </row>
    <row r="31" spans="1:13" ht="19.5">
      <c r="A31" s="741">
        <f>A29+1</f>
        <v>14</v>
      </c>
      <c r="B31" s="742"/>
      <c r="C31" s="723" t="s">
        <v>169</v>
      </c>
      <c r="D31" s="743"/>
      <c r="E31" s="727"/>
      <c r="F31" s="719"/>
      <c r="G31" s="725"/>
      <c r="H31" s="725"/>
      <c r="I31" s="725"/>
      <c r="J31" s="725"/>
      <c r="K31" s="725"/>
      <c r="L31" s="725"/>
      <c r="M31" s="725"/>
    </row>
    <row r="32" spans="1:13" ht="19.5">
      <c r="A32" s="741">
        <f>A31+1</f>
        <v>15</v>
      </c>
      <c r="B32" s="742"/>
      <c r="C32" s="719" t="s">
        <v>299</v>
      </c>
      <c r="D32" s="743"/>
      <c r="E32" s="726">
        <f>+'WS H-p2 Detail of Tax Amts'!E49</f>
        <v>0</v>
      </c>
      <c r="F32" s="740"/>
      <c r="G32" s="725"/>
      <c r="H32" s="725"/>
      <c r="I32" s="725"/>
      <c r="J32" s="725"/>
      <c r="K32" s="725"/>
      <c r="L32" s="725"/>
      <c r="M32" s="725">
        <f>E32</f>
        <v>0</v>
      </c>
    </row>
    <row r="33" spans="1:13" ht="19.5">
      <c r="A33" s="704">
        <f>A32+1</f>
        <v>16</v>
      </c>
      <c r="B33" s="705"/>
      <c r="C33" s="719" t="s">
        <v>163</v>
      </c>
      <c r="D33" s="705"/>
      <c r="E33" s="744">
        <f>+'WS H-p2 Detail of Tax Amts'!E52</f>
        <v>0</v>
      </c>
      <c r="F33" s="719"/>
      <c r="G33" s="725"/>
      <c r="H33" s="725"/>
      <c r="I33" s="725"/>
      <c r="J33" s="725"/>
      <c r="K33" s="725">
        <f>+E33</f>
        <v>0</v>
      </c>
      <c r="L33" s="725"/>
      <c r="M33" s="725"/>
    </row>
    <row r="34" spans="1:13" ht="19.5">
      <c r="A34" s="704">
        <f aca="true" t="shared" si="0" ref="A34:A39">+A33+1</f>
        <v>17</v>
      </c>
      <c r="B34" s="705"/>
      <c r="C34" s="719" t="s">
        <v>164</v>
      </c>
      <c r="D34" s="352"/>
      <c r="E34" s="744">
        <f>+'WS H-p2 Detail of Tax Amts'!E56</f>
        <v>0</v>
      </c>
      <c r="F34" s="719"/>
      <c r="G34" s="744"/>
      <c r="H34" s="744"/>
      <c r="I34" s="744"/>
      <c r="J34" s="744"/>
      <c r="K34" s="725">
        <f>+E34</f>
        <v>0</v>
      </c>
      <c r="L34" s="744"/>
      <c r="M34" s="725"/>
    </row>
    <row r="35" spans="1:13" ht="19.5">
      <c r="A35" s="704">
        <f>+A34+1</f>
        <v>18</v>
      </c>
      <c r="B35" s="705"/>
      <c r="C35" s="719" t="s">
        <v>165</v>
      </c>
      <c r="D35" s="352"/>
      <c r="E35" s="744">
        <f>'WS H-p2 Detail of Tax Amts'!E68</f>
        <v>0</v>
      </c>
      <c r="F35" s="719"/>
      <c r="G35" s="725"/>
      <c r="H35" s="725"/>
      <c r="I35" s="725"/>
      <c r="J35" s="725"/>
      <c r="K35" s="725">
        <f>+E35</f>
        <v>0</v>
      </c>
      <c r="L35" s="725"/>
      <c r="M35" s="725"/>
    </row>
    <row r="36" spans="1:13" ht="19.5">
      <c r="A36" s="704">
        <f t="shared" si="0"/>
        <v>19</v>
      </c>
      <c r="B36" s="705"/>
      <c r="C36" s="719" t="s">
        <v>166</v>
      </c>
      <c r="D36" s="705"/>
      <c r="E36" s="744">
        <f>+'WS H-p2 Detail of Tax Amts'!E73</f>
        <v>0</v>
      </c>
      <c r="F36" s="719"/>
      <c r="G36" s="725"/>
      <c r="H36" s="725"/>
      <c r="I36" s="725"/>
      <c r="J36" s="725"/>
      <c r="K36" s="725">
        <f>+E36</f>
        <v>0</v>
      </c>
      <c r="L36" s="725"/>
      <c r="M36" s="725"/>
    </row>
    <row r="37" spans="1:13" ht="19.5">
      <c r="A37" s="704">
        <f t="shared" si="0"/>
        <v>20</v>
      </c>
      <c r="B37" s="705"/>
      <c r="C37" s="719" t="s">
        <v>167</v>
      </c>
      <c r="D37" s="705"/>
      <c r="E37" s="744">
        <f>+'WS H-p2 Detail of Tax Amts'!E76</f>
        <v>0</v>
      </c>
      <c r="F37" s="740"/>
      <c r="G37" s="725"/>
      <c r="H37" s="725"/>
      <c r="I37" s="725"/>
      <c r="J37" s="725"/>
      <c r="K37" s="725"/>
      <c r="L37" s="725"/>
      <c r="M37" s="725">
        <f>+E37</f>
        <v>0</v>
      </c>
    </row>
    <row r="38" spans="1:13" ht="19.5">
      <c r="A38" s="704">
        <f t="shared" si="0"/>
        <v>21</v>
      </c>
      <c r="B38" s="719"/>
      <c r="C38" s="719" t="s">
        <v>156</v>
      </c>
      <c r="D38" s="719"/>
      <c r="E38" s="744">
        <f>+'WS H-p2 Detail of Tax Amts'!E82</f>
        <v>0</v>
      </c>
      <c r="F38" s="719"/>
      <c r="G38" s="725"/>
      <c r="H38" s="725"/>
      <c r="I38" s="725"/>
      <c r="J38" s="725"/>
      <c r="K38" s="725"/>
      <c r="L38" s="725"/>
      <c r="M38" s="725">
        <f>+E38</f>
        <v>0</v>
      </c>
    </row>
    <row r="39" spans="1:13" ht="19.5">
      <c r="A39" s="704">
        <f t="shared" si="0"/>
        <v>22</v>
      </c>
      <c r="B39" s="719"/>
      <c r="C39" s="745" t="s">
        <v>629</v>
      </c>
      <c r="D39" s="740"/>
      <c r="E39" s="744">
        <v>0</v>
      </c>
      <c r="F39" s="740"/>
      <c r="G39" s="725"/>
      <c r="H39" s="725"/>
      <c r="I39" s="725"/>
      <c r="J39" s="725"/>
      <c r="K39" s="725"/>
      <c r="L39" s="725"/>
      <c r="M39" s="725">
        <f>+E39</f>
        <v>0</v>
      </c>
    </row>
    <row r="40" spans="1:13" ht="19.5">
      <c r="A40" s="468"/>
      <c r="B40" s="339"/>
      <c r="C40" s="339"/>
      <c r="D40" s="352"/>
      <c r="E40" s="352"/>
      <c r="F40" s="719"/>
      <c r="H40" s="746"/>
      <c r="I40" s="747"/>
      <c r="J40" s="747"/>
      <c r="K40" s="732"/>
      <c r="L40" s="748"/>
      <c r="M40" s="748"/>
    </row>
    <row r="41" spans="1:13" ht="20.25" thickBot="1">
      <c r="A41" s="749">
        <f>+A39+1</f>
        <v>23</v>
      </c>
      <c r="B41" s="339"/>
      <c r="C41" s="719" t="s">
        <v>160</v>
      </c>
      <c r="D41" s="352"/>
      <c r="E41" s="750">
        <f>SUM(E15:E39)</f>
        <v>6130</v>
      </c>
      <c r="F41" s="719"/>
      <c r="G41" s="750">
        <f>SUM(G15:G39)</f>
        <v>6130</v>
      </c>
      <c r="H41" s="746"/>
      <c r="I41" s="750">
        <f>SUM(I15:I39)</f>
        <v>0</v>
      </c>
      <c r="J41" s="747"/>
      <c r="K41" s="750">
        <f>SUM(K15:K39)</f>
        <v>0</v>
      </c>
      <c r="L41" s="748"/>
      <c r="M41" s="750">
        <f>SUM(M15:M39)</f>
        <v>0</v>
      </c>
    </row>
    <row r="42" spans="1:13" ht="20.25" thickTop="1">
      <c r="A42" s="468"/>
      <c r="B42" s="339"/>
      <c r="C42" s="719" t="s">
        <v>240</v>
      </c>
      <c r="D42" s="352"/>
      <c r="E42" s="352"/>
      <c r="F42" s="719"/>
      <c r="G42" s="746"/>
      <c r="H42" s="746"/>
      <c r="I42" s="747"/>
      <c r="J42" s="335"/>
      <c r="K42" s="748"/>
      <c r="L42" s="748"/>
      <c r="M42" s="748"/>
    </row>
    <row r="43" spans="1:13" ht="19.5">
      <c r="A43" s="468"/>
      <c r="B43" s="339"/>
      <c r="C43" s="740" t="s">
        <v>54</v>
      </c>
      <c r="D43" s="352"/>
      <c r="E43" s="352"/>
      <c r="F43" s="719"/>
      <c r="G43" s="746"/>
      <c r="H43" s="746"/>
      <c r="I43" s="747"/>
      <c r="J43" s="335"/>
      <c r="K43" s="748"/>
      <c r="L43" s="748"/>
      <c r="M43" s="748"/>
    </row>
    <row r="44" spans="1:13" ht="19.5">
      <c r="A44" s="468"/>
      <c r="B44" s="339"/>
      <c r="C44" s="1272" t="s">
        <v>343</v>
      </c>
      <c r="D44" s="1272"/>
      <c r="E44" s="1272"/>
      <c r="F44" s="1272"/>
      <c r="G44" s="1272"/>
      <c r="H44" s="1272"/>
      <c r="I44" s="1272"/>
      <c r="J44" s="1272"/>
      <c r="K44" s="1272"/>
      <c r="L44" s="1272"/>
      <c r="M44" s="1272"/>
    </row>
    <row r="45" spans="1:13" ht="78">
      <c r="A45" s="704"/>
      <c r="C45" s="719"/>
      <c r="D45" s="719"/>
      <c r="E45" s="751" t="s">
        <v>472</v>
      </c>
      <c r="G45" s="780" t="s">
        <v>638</v>
      </c>
      <c r="H45" s="752"/>
      <c r="I45" s="751" t="s">
        <v>473</v>
      </c>
      <c r="J45" s="752"/>
      <c r="K45" s="780" t="s">
        <v>180</v>
      </c>
      <c r="L45" s="752"/>
      <c r="M45" s="780" t="s">
        <v>641</v>
      </c>
    </row>
    <row r="46" spans="1:15" ht="19.5">
      <c r="A46" s="753">
        <f>+A41+1</f>
        <v>24</v>
      </c>
      <c r="B46" s="754"/>
      <c r="C46" s="755" t="str">
        <f>"Functionalized Net Plant (TCOS, Lns "&amp;TCOS!B93&amp;" thru "&amp;TCOS!B102&amp;")"</f>
        <v>Functionalized Net Plant (TCOS, Lns 49 thru 58)</v>
      </c>
      <c r="D46" s="740"/>
      <c r="E46" s="756">
        <f>TCOS!G92</f>
        <v>0</v>
      </c>
      <c r="F46" s="755"/>
      <c r="G46" s="756">
        <f>TCOS!G93</f>
        <v>23098.5</v>
      </c>
      <c r="H46" s="755"/>
      <c r="I46" s="756">
        <f>TCOS!G99</f>
        <v>0</v>
      </c>
      <c r="J46" s="755"/>
      <c r="K46" s="757">
        <f>TCOS!G100</f>
        <v>0</v>
      </c>
      <c r="L46" s="740"/>
      <c r="M46" s="758">
        <f>SUM(E46:K46)</f>
        <v>23098.5</v>
      </c>
      <c r="O46" s="352"/>
    </row>
    <row r="47" spans="1:15" ht="19.5">
      <c r="A47" s="753"/>
      <c r="B47" s="754"/>
      <c r="C47" s="711" t="s">
        <v>942</v>
      </c>
      <c r="D47" s="740"/>
      <c r="E47" s="758"/>
      <c r="F47" s="740"/>
      <c r="G47" s="759"/>
      <c r="H47" s="740"/>
      <c r="I47" s="758"/>
      <c r="J47" s="740"/>
      <c r="K47" s="760"/>
      <c r="L47" s="740"/>
      <c r="M47" s="761"/>
      <c r="O47" s="352"/>
    </row>
    <row r="48" spans="1:15" ht="19.5">
      <c r="A48" s="753">
        <f>+A46+1</f>
        <v>25</v>
      </c>
      <c r="B48" s="754"/>
      <c r="C48" s="740" t="str">
        <f>"Percentage of Plant in "&amp;C47&amp;""</f>
        <v>Percentage of Plant in VIRGINIA JURISDICTION</v>
      </c>
      <c r="D48" s="740"/>
      <c r="E48" s="781"/>
      <c r="F48" s="762"/>
      <c r="G48" s="781"/>
      <c r="H48" s="762"/>
      <c r="I48" s="781"/>
      <c r="J48" s="759"/>
      <c r="K48" s="781"/>
      <c r="L48" s="740"/>
      <c r="M48" s="761"/>
      <c r="O48" s="352"/>
    </row>
    <row r="49" spans="1:15" ht="19.5">
      <c r="A49" s="753">
        <f aca="true" t="shared" si="1" ref="A49:A56">+A48+1</f>
        <v>26</v>
      </c>
      <c r="B49" s="754"/>
      <c r="C49" s="755" t="str">
        <f>"Net Plant in "&amp;C47&amp;" (Ln "&amp;A46&amp;" * Ln "&amp;A48&amp;")"</f>
        <v>Net Plant in VIRGINIA JURISDICTION (Ln 24 * Ln 25)</v>
      </c>
      <c r="D49" s="740"/>
      <c r="E49" s="758">
        <f>+E46*E48</f>
        <v>0</v>
      </c>
      <c r="F49" s="740"/>
      <c r="G49" s="758">
        <f>+G46*G48</f>
        <v>0</v>
      </c>
      <c r="H49" s="740"/>
      <c r="I49" s="758">
        <f>+I46*I48</f>
        <v>0</v>
      </c>
      <c r="J49" s="740"/>
      <c r="K49" s="758">
        <f>+K46*K48</f>
        <v>0</v>
      </c>
      <c r="L49" s="740"/>
      <c r="M49" s="758">
        <f>SUM(E49:K49)</f>
        <v>0</v>
      </c>
      <c r="O49" s="352"/>
    </row>
    <row r="50" spans="1:15" ht="19.5">
      <c r="A50" s="753">
        <f t="shared" si="1"/>
        <v>27</v>
      </c>
      <c r="B50" s="754"/>
      <c r="C50" s="755" t="s">
        <v>806</v>
      </c>
      <c r="D50" s="740"/>
      <c r="E50" s="782"/>
      <c r="F50" s="740"/>
      <c r="G50" s="763"/>
      <c r="H50" s="740"/>
      <c r="I50" s="763"/>
      <c r="J50" s="740"/>
      <c r="K50" s="764"/>
      <c r="L50" s="740"/>
      <c r="M50" s="758"/>
      <c r="O50" s="352"/>
    </row>
    <row r="51" spans="1:13" ht="19.5">
      <c r="A51" s="753">
        <f t="shared" si="1"/>
        <v>28</v>
      </c>
      <c r="B51" s="754"/>
      <c r="C51" s="740" t="str">
        <f>"Taxable Property Basis (Ln "&amp;A49&amp;" - Ln "&amp;A50&amp;")"</f>
        <v>Taxable Property Basis (Ln 26 - Ln 27)</v>
      </c>
      <c r="D51" s="740"/>
      <c r="E51" s="758">
        <f>+E49-E50</f>
        <v>0</v>
      </c>
      <c r="F51" s="740"/>
      <c r="G51" s="758">
        <f>+G49-G50</f>
        <v>0</v>
      </c>
      <c r="H51" s="740"/>
      <c r="I51" s="758">
        <f>+I49-I50</f>
        <v>0</v>
      </c>
      <c r="J51" s="740"/>
      <c r="K51" s="758">
        <f>+K49-K50</f>
        <v>0</v>
      </c>
      <c r="L51" s="740"/>
      <c r="M51" s="758">
        <f>SUM(E51:K51)</f>
        <v>0</v>
      </c>
    </row>
    <row r="52" spans="1:13" ht="19.5">
      <c r="A52" s="753">
        <f t="shared" si="1"/>
        <v>29</v>
      </c>
      <c r="B52" s="754"/>
      <c r="C52" s="744" t="s">
        <v>341</v>
      </c>
      <c r="D52" s="740"/>
      <c r="E52" s="783"/>
      <c r="F52" s="765"/>
      <c r="G52" s="783"/>
      <c r="H52" s="765"/>
      <c r="I52" s="783"/>
      <c r="J52" s="766"/>
      <c r="K52" s="783"/>
      <c r="L52" s="740"/>
      <c r="M52" s="767">
        <f>SUM(E52:K52)</f>
        <v>0</v>
      </c>
    </row>
    <row r="53" spans="1:13" ht="19.5">
      <c r="A53" s="753">
        <f t="shared" si="1"/>
        <v>30</v>
      </c>
      <c r="B53" s="754"/>
      <c r="C53" s="755" t="str">
        <f>"Weighted Net Plant (Ln "&amp;A51&amp;" * Ln "&amp;A52&amp;")"</f>
        <v>Weighted Net Plant (Ln 28 * Ln 29)</v>
      </c>
      <c r="D53" s="740"/>
      <c r="E53" s="758">
        <f>+E51*E52</f>
        <v>0</v>
      </c>
      <c r="F53" s="740"/>
      <c r="G53" s="758">
        <f>+G51*G52</f>
        <v>0</v>
      </c>
      <c r="H53" s="740"/>
      <c r="I53" s="758">
        <f>+I51*I52</f>
        <v>0</v>
      </c>
      <c r="J53" s="740"/>
      <c r="K53" s="758">
        <f>+K51*K52</f>
        <v>0</v>
      </c>
      <c r="L53" s="740"/>
      <c r="M53" s="758"/>
    </row>
    <row r="54" spans="1:13" ht="19.5">
      <c r="A54" s="753">
        <f t="shared" si="1"/>
        <v>31</v>
      </c>
      <c r="B54" s="754"/>
      <c r="C54" s="740" t="str">
        <f>+"General Plant Allocator (Ln "&amp;A53&amp;" / (Total - General Plant))"</f>
        <v>General Plant Allocator (Ln 30 / (Total - General Plant))</v>
      </c>
      <c r="D54" s="740"/>
      <c r="E54" s="768">
        <f>IF(E52=0,0,+E53/($E53+$G53+$I53))</f>
        <v>0</v>
      </c>
      <c r="F54" s="740"/>
      <c r="G54" s="768">
        <v>1</v>
      </c>
      <c r="H54" s="740"/>
      <c r="I54" s="768">
        <f>IF(I52=0,0,+I53/($E53+$G53+$I53))</f>
        <v>0</v>
      </c>
      <c r="J54" s="740"/>
      <c r="K54" s="768">
        <v>-1</v>
      </c>
      <c r="L54" s="740"/>
      <c r="M54" s="740"/>
    </row>
    <row r="55" spans="1:13" ht="19.5">
      <c r="A55" s="753">
        <f t="shared" si="1"/>
        <v>32</v>
      </c>
      <c r="B55" s="754"/>
      <c r="C55" s="740" t="str">
        <f>"Functionalized General Plant (Ln "&amp;A54&amp;" * General Plant)"</f>
        <v>Functionalized General Plant (Ln 31 * General Plant)</v>
      </c>
      <c r="D55" s="740"/>
      <c r="E55" s="769">
        <f>ROUND($K53*E54,0)</f>
        <v>0</v>
      </c>
      <c r="F55" s="740"/>
      <c r="G55" s="769">
        <f>+G54*K53</f>
        <v>0</v>
      </c>
      <c r="H55" s="740"/>
      <c r="I55" s="769">
        <f>ROUND($K53*I54,0)</f>
        <v>0</v>
      </c>
      <c r="J55" s="740"/>
      <c r="K55" s="769">
        <f>ROUND($K53*K54,0)</f>
        <v>0</v>
      </c>
      <c r="L55" s="740"/>
      <c r="M55" s="758">
        <f>IF(SUM(E55:K55)&lt;&gt;0,0,0)</f>
        <v>0</v>
      </c>
    </row>
    <row r="56" spans="1:13" ht="19.5">
      <c r="A56" s="753">
        <f t="shared" si="1"/>
        <v>33</v>
      </c>
      <c r="B56" s="754"/>
      <c r="C56" s="740" t="str">
        <f>"Weighted "&amp;C47&amp;" Plant (Ln "&amp;A53&amp;" + "&amp;A55&amp;")"</f>
        <v>Weighted VIRGINIA JURISDICTION Plant (Ln 30 + 32)</v>
      </c>
      <c r="D56" s="740"/>
      <c r="E56" s="758">
        <f>+E53+E55</f>
        <v>0</v>
      </c>
      <c r="F56" s="740"/>
      <c r="G56" s="760">
        <f>+G53+G55</f>
        <v>0</v>
      </c>
      <c r="H56" s="740"/>
      <c r="I56" s="758">
        <f>+I53+I55</f>
        <v>0</v>
      </c>
      <c r="J56" s="740"/>
      <c r="K56" s="758">
        <f>+K53+K55</f>
        <v>0</v>
      </c>
      <c r="L56" s="740"/>
      <c r="M56" s="758">
        <f>SUM(E56:K56)-SUM(E55:K55)</f>
        <v>0</v>
      </c>
    </row>
    <row r="57" spans="1:13" ht="20.25" thickBot="1">
      <c r="A57" s="753">
        <f>+A56+1</f>
        <v>34</v>
      </c>
      <c r="B57" s="754"/>
      <c r="C57" s="740" t="str">
        <f>"Functional Percentage (Ln "&amp;A56&amp;"/Total Ln "&amp;A56&amp;")"</f>
        <v>Functional Percentage (Ln 33/Total Ln 33)</v>
      </c>
      <c r="D57" s="740"/>
      <c r="E57" s="759">
        <f>IF(E56=0,0,+E56/$M$56)</f>
        <v>0</v>
      </c>
      <c r="F57" s="740"/>
      <c r="G57" s="759">
        <v>1</v>
      </c>
      <c r="H57" s="740"/>
      <c r="I57" s="759">
        <f>IF(I56=0,0,+I56/$M$56)</f>
        <v>0</v>
      </c>
      <c r="J57" s="740"/>
      <c r="K57" s="352"/>
      <c r="L57" s="740"/>
      <c r="M57" s="758"/>
    </row>
    <row r="58" spans="1:13" ht="20.25" thickBot="1">
      <c r="A58" s="753">
        <f>+A57+1</f>
        <v>35</v>
      </c>
      <c r="B58" s="754"/>
      <c r="C58" s="740" t="str">
        <f>"Functionalized Expense in "&amp;C47&amp;""</f>
        <v>Functionalized Expense in VIRGINIA JURISDICTION</v>
      </c>
      <c r="D58" s="740"/>
      <c r="E58" s="770">
        <f>+E57*M58</f>
        <v>0</v>
      </c>
      <c r="F58" s="740"/>
      <c r="G58" s="770">
        <f>+G57*M58</f>
        <v>0</v>
      </c>
      <c r="H58" s="740"/>
      <c r="I58" s="770">
        <f>+I57*M58</f>
        <v>0</v>
      </c>
      <c r="J58" s="740"/>
      <c r="K58" s="352"/>
      <c r="L58" s="740"/>
      <c r="M58" s="771">
        <f>+G19</f>
        <v>0</v>
      </c>
    </row>
    <row r="59" spans="1:13" ht="19.5">
      <c r="A59" s="753"/>
      <c r="B59" s="754"/>
      <c r="C59" s="711" t="s">
        <v>943</v>
      </c>
      <c r="D59" s="740"/>
      <c r="E59" s="758"/>
      <c r="F59" s="740"/>
      <c r="G59" s="758"/>
      <c r="H59" s="740"/>
      <c r="I59" s="758"/>
      <c r="J59" s="740"/>
      <c r="K59" s="760"/>
      <c r="L59" s="740"/>
      <c r="M59" s="758"/>
    </row>
    <row r="60" spans="1:13" ht="19.5">
      <c r="A60" s="753">
        <f>+A58+1</f>
        <v>36</v>
      </c>
      <c r="B60" s="754"/>
      <c r="C60" s="740" t="str">
        <f>"Percentage of Plant in "&amp;C59&amp;""</f>
        <v>Percentage of Plant in WEST VA JURISDICTION</v>
      </c>
      <c r="D60" s="740"/>
      <c r="E60" s="781"/>
      <c r="F60" s="772"/>
      <c r="G60" s="781"/>
      <c r="H60" s="772"/>
      <c r="I60" s="781"/>
      <c r="J60" s="759"/>
      <c r="K60" s="781"/>
      <c r="L60" s="740"/>
      <c r="M60" s="766"/>
    </row>
    <row r="61" spans="1:13" ht="19.5">
      <c r="A61" s="753">
        <f aca="true" t="shared" si="2" ref="A61:A68">+A60+1</f>
        <v>37</v>
      </c>
      <c r="B61" s="754"/>
      <c r="C61" s="755" t="str">
        <f>"Net Plant in "&amp;C59&amp;" (Ln "&amp;A46&amp;" * Ln "&amp;A60&amp;")"</f>
        <v>Net Plant in WEST VA JURISDICTION (Ln 24 * Ln 36)</v>
      </c>
      <c r="D61" s="352"/>
      <c r="E61" s="758">
        <f>+E60*E46</f>
        <v>0</v>
      </c>
      <c r="F61" s="740"/>
      <c r="G61" s="758">
        <f>+G60*G46</f>
        <v>0</v>
      </c>
      <c r="H61" s="740"/>
      <c r="I61" s="758">
        <f>+I60*I46</f>
        <v>0</v>
      </c>
      <c r="J61" s="740"/>
      <c r="K61" s="758">
        <f>+K60*K46</f>
        <v>0</v>
      </c>
      <c r="L61" s="740"/>
      <c r="M61" s="758">
        <f>SUM(E61:K61)</f>
        <v>0</v>
      </c>
    </row>
    <row r="62" spans="1:13" ht="19.5">
      <c r="A62" s="753">
        <f t="shared" si="2"/>
        <v>38</v>
      </c>
      <c r="B62" s="754"/>
      <c r="C62" s="755" t="s">
        <v>806</v>
      </c>
      <c r="D62" s="352"/>
      <c r="E62" s="782"/>
      <c r="F62" s="740"/>
      <c r="G62" s="763"/>
      <c r="H62" s="740"/>
      <c r="I62" s="763"/>
      <c r="J62" s="740"/>
      <c r="K62" s="764"/>
      <c r="L62" s="740"/>
      <c r="M62" s="758"/>
    </row>
    <row r="63" spans="1:13" ht="19.5">
      <c r="A63" s="753">
        <f t="shared" si="2"/>
        <v>39</v>
      </c>
      <c r="B63" s="754"/>
      <c r="C63" s="740" t="str">
        <f>"Taxable Property Basis (Ln "&amp;A61&amp;" - Ln "&amp;A62&amp;")"</f>
        <v>Taxable Property Basis (Ln 37 - Ln 38)</v>
      </c>
      <c r="D63" s="352"/>
      <c r="E63" s="758">
        <f>+E61-E62</f>
        <v>0</v>
      </c>
      <c r="F63" s="740"/>
      <c r="G63" s="758">
        <f>+G61-G62</f>
        <v>0</v>
      </c>
      <c r="H63" s="740"/>
      <c r="I63" s="758">
        <f>+I61-I62</f>
        <v>0</v>
      </c>
      <c r="J63" s="740"/>
      <c r="K63" s="758">
        <f>+K61-K62</f>
        <v>0</v>
      </c>
      <c r="L63" s="740"/>
      <c r="M63" s="758">
        <f>SUM(E63:K63)</f>
        <v>0</v>
      </c>
    </row>
    <row r="64" spans="1:13" ht="19.5">
      <c r="A64" s="753">
        <f t="shared" si="2"/>
        <v>40</v>
      </c>
      <c r="B64" s="754"/>
      <c r="C64" s="744" t="s">
        <v>341</v>
      </c>
      <c r="D64" s="352"/>
      <c r="E64" s="783"/>
      <c r="F64" s="765"/>
      <c r="G64" s="783"/>
      <c r="H64" s="765"/>
      <c r="I64" s="783"/>
      <c r="J64" s="766"/>
      <c r="K64" s="783"/>
      <c r="L64" s="740"/>
      <c r="M64" s="767">
        <f>SUM(E64:K64)</f>
        <v>0</v>
      </c>
    </row>
    <row r="65" spans="1:13" ht="19.5">
      <c r="A65" s="753">
        <f t="shared" si="2"/>
        <v>41</v>
      </c>
      <c r="B65" s="754"/>
      <c r="C65" s="755" t="str">
        <f>"Weighted Net Plant (Ln "&amp;A63&amp;" * Ln "&amp;A64&amp;")"</f>
        <v>Weighted Net Plant (Ln 39 * Ln 40)</v>
      </c>
      <c r="D65" s="352"/>
      <c r="E65" s="758">
        <f>+E63*E64</f>
        <v>0</v>
      </c>
      <c r="F65" s="740"/>
      <c r="G65" s="758">
        <f>+G63*G64</f>
        <v>0</v>
      </c>
      <c r="H65" s="740"/>
      <c r="I65" s="758">
        <f>+I63*I64</f>
        <v>0</v>
      </c>
      <c r="J65" s="740"/>
      <c r="K65" s="758">
        <f>+K63*K64</f>
        <v>0</v>
      </c>
      <c r="L65" s="740"/>
      <c r="M65" s="758"/>
    </row>
    <row r="66" spans="1:13" ht="19.5">
      <c r="A66" s="753">
        <f t="shared" si="2"/>
        <v>42</v>
      </c>
      <c r="B66" s="754"/>
      <c r="C66" s="740" t="str">
        <f>+"General Plant Allocator (Ln "&amp;A65&amp;" / (Total - General Plant))"</f>
        <v>General Plant Allocator (Ln 41 / (Total - General Plant))</v>
      </c>
      <c r="D66" s="740"/>
      <c r="E66" s="768">
        <f>IF(E64=0,0,+E65/($E65+$G65+$I65))</f>
        <v>0</v>
      </c>
      <c r="F66" s="740"/>
      <c r="G66" s="768">
        <v>1</v>
      </c>
      <c r="H66" s="740"/>
      <c r="I66" s="768">
        <f>IF(I64=0,0,+I65/($E65+$G65+$I65))</f>
        <v>0</v>
      </c>
      <c r="J66" s="740"/>
      <c r="K66" s="768">
        <v>-1</v>
      </c>
      <c r="L66" s="740"/>
      <c r="M66" s="740"/>
    </row>
    <row r="67" spans="1:13" ht="19.5">
      <c r="A67" s="753">
        <f t="shared" si="2"/>
        <v>43</v>
      </c>
      <c r="B67" s="754"/>
      <c r="C67" s="740" t="str">
        <f>"Functionalized General Plant (Ln "&amp;A66&amp;" * General Plant)"</f>
        <v>Functionalized General Plant (Ln 42 * General Plant)</v>
      </c>
      <c r="D67" s="740"/>
      <c r="E67" s="769">
        <f>ROUND($K65*E66,0)</f>
        <v>0</v>
      </c>
      <c r="F67" s="740"/>
      <c r="G67" s="769">
        <f>+G66*K65</f>
        <v>0</v>
      </c>
      <c r="H67" s="740"/>
      <c r="I67" s="769">
        <f>ROUND($K65*I66,0)</f>
        <v>0</v>
      </c>
      <c r="J67" s="740"/>
      <c r="K67" s="769">
        <f>ROUND($K65*K66,0)</f>
        <v>0</v>
      </c>
      <c r="L67" s="740"/>
      <c r="M67" s="758">
        <f>IF(SUM(E67:K67)&lt;&gt;0,0,0)</f>
        <v>0</v>
      </c>
    </row>
    <row r="68" spans="1:13" ht="19.5">
      <c r="A68" s="753">
        <f t="shared" si="2"/>
        <v>44</v>
      </c>
      <c r="B68" s="754"/>
      <c r="C68" s="740" t="str">
        <f>"Weighted "&amp;C59&amp;" Plant (Ln "&amp;A65&amp;" + "&amp;A67&amp;")"</f>
        <v>Weighted WEST VA JURISDICTION Plant (Ln 41 + 43)</v>
      </c>
      <c r="D68" s="740"/>
      <c r="E68" s="758">
        <f>+E65+E67</f>
        <v>0</v>
      </c>
      <c r="F68" s="740"/>
      <c r="G68" s="760">
        <f>+G65+G67</f>
        <v>0</v>
      </c>
      <c r="H68" s="740"/>
      <c r="I68" s="758">
        <f>+I65+I67</f>
        <v>0</v>
      </c>
      <c r="J68" s="740"/>
      <c r="K68" s="758">
        <f>+K65+K67</f>
        <v>0</v>
      </c>
      <c r="L68" s="740"/>
      <c r="M68" s="758">
        <f>SUM(E68:K68)-SUM(E67:K67)</f>
        <v>0</v>
      </c>
    </row>
    <row r="69" spans="1:13" ht="20.25" thickBot="1">
      <c r="A69" s="753">
        <f>+A68+1</f>
        <v>45</v>
      </c>
      <c r="B69" s="754"/>
      <c r="C69" s="740" t="str">
        <f>"Functional Percentage (Ln "&amp;A68&amp;"/Total Ln "&amp;A68&amp;")"</f>
        <v>Functional Percentage (Ln 44/Total Ln 44)</v>
      </c>
      <c r="D69" s="740"/>
      <c r="E69" s="759">
        <f>IF(E68=0,0,+E68/$M$68)</f>
        <v>0</v>
      </c>
      <c r="F69" s="740"/>
      <c r="G69" s="759">
        <v>1</v>
      </c>
      <c r="H69" s="740"/>
      <c r="I69" s="759">
        <f>IF(I68=0,0,+I68/$M$68)</f>
        <v>0</v>
      </c>
      <c r="J69" s="740"/>
      <c r="K69" s="352"/>
      <c r="L69" s="740"/>
      <c r="M69" s="758"/>
    </row>
    <row r="70" spans="1:13" ht="20.25" thickBot="1">
      <c r="A70" s="753">
        <f>+A69+1</f>
        <v>46</v>
      </c>
      <c r="B70" s="754"/>
      <c r="C70" s="740" t="str">
        <f>"Functionalized Expense in "&amp;C59&amp;""</f>
        <v>Functionalized Expense in WEST VA JURISDICTION</v>
      </c>
      <c r="D70" s="740"/>
      <c r="E70" s="770">
        <f>+E69*M70</f>
        <v>0</v>
      </c>
      <c r="F70" s="740"/>
      <c r="G70" s="770">
        <f>+G69*M70</f>
        <v>0</v>
      </c>
      <c r="H70" s="740"/>
      <c r="I70" s="770">
        <f>+I69*M70</f>
        <v>0</v>
      </c>
      <c r="J70" s="740"/>
      <c r="K70" s="352"/>
      <c r="L70" s="740"/>
      <c r="M70" s="771">
        <f>+G18</f>
        <v>0</v>
      </c>
    </row>
    <row r="71" spans="1:13" ht="19.5">
      <c r="A71" s="753"/>
      <c r="B71" s="754"/>
      <c r="C71" s="773" t="s">
        <v>944</v>
      </c>
      <c r="D71" s="740"/>
      <c r="E71" s="758"/>
      <c r="F71" s="740"/>
      <c r="G71" s="774"/>
      <c r="H71" s="740"/>
      <c r="I71" s="758"/>
      <c r="J71" s="740"/>
      <c r="K71" s="759"/>
      <c r="L71" s="740"/>
      <c r="M71" s="758"/>
    </row>
    <row r="72" spans="1:13" ht="19.5">
      <c r="A72" s="753">
        <f>+A70+1</f>
        <v>47</v>
      </c>
      <c r="B72" s="754"/>
      <c r="C72" s="755" t="str">
        <f>"Net Plant in "&amp;C71&amp;" (Ln "&amp;A46&amp;" - Ln "&amp;A49&amp;" - Ln "&amp;A61&amp;")"</f>
        <v>Net Plant in TENNESSEE JURISDICTION (Ln 24 - Ln 26 - Ln 37)</v>
      </c>
      <c r="D72" s="740"/>
      <c r="E72" s="758">
        <f>+E46-E49-E61</f>
        <v>0</v>
      </c>
      <c r="F72" s="740"/>
      <c r="G72" s="758">
        <f>+G46-G49-G61</f>
        <v>23098.5</v>
      </c>
      <c r="H72" s="740"/>
      <c r="I72" s="758">
        <f>+I46-I49-I61</f>
        <v>0</v>
      </c>
      <c r="J72" s="740"/>
      <c r="K72" s="758">
        <f>+K46-K49-K61</f>
        <v>0</v>
      </c>
      <c r="L72" s="740"/>
      <c r="M72" s="758">
        <f>SUM(E72:K72)</f>
        <v>23098.5</v>
      </c>
    </row>
    <row r="73" spans="1:13" ht="19.5">
      <c r="A73" s="753">
        <f aca="true" t="shared" si="3" ref="A73:A79">+A72+1</f>
        <v>48</v>
      </c>
      <c r="B73" s="754"/>
      <c r="C73" s="755" t="s">
        <v>805</v>
      </c>
      <c r="D73" s="740"/>
      <c r="E73" s="782"/>
      <c r="F73" s="740"/>
      <c r="G73" s="763"/>
      <c r="H73" s="740"/>
      <c r="I73" s="763"/>
      <c r="J73" s="740"/>
      <c r="K73" s="764"/>
      <c r="L73" s="740"/>
      <c r="M73" s="758"/>
    </row>
    <row r="74" spans="1:13" ht="19.5">
      <c r="A74" s="753">
        <f t="shared" si="3"/>
        <v>49</v>
      </c>
      <c r="B74" s="754"/>
      <c r="C74" s="740" t="s">
        <v>342</v>
      </c>
      <c r="D74" s="740"/>
      <c r="E74" s="758">
        <f>+E72-E73</f>
        <v>0</v>
      </c>
      <c r="F74" s="740"/>
      <c r="G74" s="758">
        <f>+G72-G73</f>
        <v>23098.5</v>
      </c>
      <c r="H74" s="740"/>
      <c r="I74" s="758">
        <f>+I72-I73</f>
        <v>0</v>
      </c>
      <c r="J74" s="740"/>
      <c r="K74" s="758">
        <f>+K72-K73</f>
        <v>0</v>
      </c>
      <c r="L74" s="740"/>
      <c r="M74" s="758">
        <f>SUM(E74:K74)</f>
        <v>23098.5</v>
      </c>
    </row>
    <row r="75" spans="1:13" ht="19.5">
      <c r="A75" s="753">
        <f t="shared" si="3"/>
        <v>50</v>
      </c>
      <c r="B75" s="754"/>
      <c r="C75" s="744" t="s">
        <v>341</v>
      </c>
      <c r="D75" s="740"/>
      <c r="E75" s="783"/>
      <c r="F75" s="765"/>
      <c r="G75" s="783"/>
      <c r="H75" s="765"/>
      <c r="I75" s="783"/>
      <c r="J75" s="766"/>
      <c r="K75" s="783"/>
      <c r="L75" s="740"/>
      <c r="M75" s="758"/>
    </row>
    <row r="76" spans="1:13" ht="19.5">
      <c r="A76" s="753">
        <f t="shared" si="3"/>
        <v>51</v>
      </c>
      <c r="B76" s="754"/>
      <c r="C76" s="740" t="str">
        <f>"Weighted Net Plant (Ln "&amp;A74&amp;" * Ln "&amp;A75&amp;")"</f>
        <v>Weighted Net Plant (Ln 49 * Ln 50)</v>
      </c>
      <c r="D76" s="740"/>
      <c r="E76" s="758">
        <f>+E74*E75</f>
        <v>0</v>
      </c>
      <c r="F76" s="740"/>
      <c r="G76" s="758">
        <f>+G74*G75</f>
        <v>0</v>
      </c>
      <c r="H76" s="740"/>
      <c r="I76" s="758">
        <f>+I74*I75</f>
        <v>0</v>
      </c>
      <c r="J76" s="740"/>
      <c r="K76" s="758">
        <f>+K74*K75</f>
        <v>0</v>
      </c>
      <c r="L76" s="740"/>
      <c r="M76" s="758"/>
    </row>
    <row r="77" spans="1:13" ht="19.5">
      <c r="A77" s="753">
        <f t="shared" si="3"/>
        <v>52</v>
      </c>
      <c r="B77" s="754"/>
      <c r="C77" s="740" t="str">
        <f>+"General Plant Allocator (Ln "&amp;A76&amp;" / (Total - General Plant)"</f>
        <v>General Plant Allocator (Ln 51 / (Total - General Plant)</v>
      </c>
      <c r="D77" s="740"/>
      <c r="E77" s="768">
        <f>IF(E75=0,0,+E76/($E76+$G76+$I76))</f>
        <v>0</v>
      </c>
      <c r="F77" s="740"/>
      <c r="G77" s="768">
        <v>1</v>
      </c>
      <c r="H77" s="740"/>
      <c r="I77" s="768">
        <f>IF(I75=0,0,+I76/($E76+$G76+$I76))</f>
        <v>0</v>
      </c>
      <c r="J77" s="740"/>
      <c r="K77" s="768">
        <v>-1</v>
      </c>
      <c r="L77" s="740"/>
      <c r="M77" s="758"/>
    </row>
    <row r="78" spans="1:13" ht="19.5">
      <c r="A78" s="753">
        <f t="shared" si="3"/>
        <v>53</v>
      </c>
      <c r="B78" s="754"/>
      <c r="C78" s="740" t="str">
        <f>"Functionalized General Plant (Ln "&amp;A78&amp;" * General Plant)"</f>
        <v>Functionalized General Plant (Ln 53 * General Plant)</v>
      </c>
      <c r="D78" s="740"/>
      <c r="E78" s="769">
        <f>ROUND($K76*E77,0)</f>
        <v>0</v>
      </c>
      <c r="F78" s="740"/>
      <c r="G78" s="769">
        <f>ROUND($K76*G77,0)</f>
        <v>0</v>
      </c>
      <c r="H78" s="740"/>
      <c r="I78" s="769">
        <f>ROUND($K76*I77,0)</f>
        <v>0</v>
      </c>
      <c r="J78" s="740"/>
      <c r="K78" s="769">
        <f>ROUND($K76*K77,0)</f>
        <v>0</v>
      </c>
      <c r="L78" s="740"/>
      <c r="M78" s="758"/>
    </row>
    <row r="79" spans="1:13" ht="19.5">
      <c r="A79" s="753">
        <f t="shared" si="3"/>
        <v>54</v>
      </c>
      <c r="B79" s="754"/>
      <c r="C79" s="740" t="str">
        <f>"Weighted "&amp;C71&amp;" Plant (Ln "&amp;A76&amp;" + "&amp;A78&amp;")"</f>
        <v>Weighted TENNESSEE JURISDICTION Plant (Ln 51 + 53)</v>
      </c>
      <c r="D79" s="740"/>
      <c r="E79" s="758">
        <f>+E76+E78</f>
        <v>0</v>
      </c>
      <c r="F79" s="740"/>
      <c r="G79" s="760">
        <f>+G76+G78</f>
        <v>0</v>
      </c>
      <c r="H79" s="740"/>
      <c r="I79" s="758">
        <f>+I76+I78</f>
        <v>0</v>
      </c>
      <c r="J79" s="740"/>
      <c r="K79" s="758">
        <f>+K76+K78</f>
        <v>0</v>
      </c>
      <c r="L79" s="740"/>
      <c r="M79" s="758">
        <f>SUM(E79:K79)-SUM(E78:K78)</f>
        <v>0</v>
      </c>
    </row>
    <row r="80" spans="1:13" ht="20.25" thickBot="1">
      <c r="A80" s="753">
        <f>+A79+1</f>
        <v>55</v>
      </c>
      <c r="B80" s="754"/>
      <c r="C80" s="740" t="str">
        <f>"Functional Percentage (Ln "&amp;A79&amp;"/Total Ln "&amp;A79&amp;")"</f>
        <v>Functional Percentage (Ln 54/Total Ln 54)</v>
      </c>
      <c r="D80" s="740"/>
      <c r="E80" s="759">
        <f>IF(E79=0,0,+E79/$M$79)</f>
        <v>0</v>
      </c>
      <c r="F80" s="740"/>
      <c r="G80" s="759">
        <v>1</v>
      </c>
      <c r="H80" s="740"/>
      <c r="I80" s="759">
        <f>IF(I79=0,0,+I79/$M$79)</f>
        <v>0</v>
      </c>
      <c r="J80" s="352"/>
      <c r="K80" s="352"/>
      <c r="L80" s="740"/>
      <c r="M80" s="758"/>
    </row>
    <row r="81" spans="1:13" ht="20.25" thickBot="1">
      <c r="A81" s="753">
        <f>+A80+1</f>
        <v>56</v>
      </c>
      <c r="B81" s="754"/>
      <c r="C81" s="740" t="str">
        <f>"Functionalized Expense in "&amp;C71&amp;""</f>
        <v>Functionalized Expense in TENNESSEE JURISDICTION</v>
      </c>
      <c r="D81" s="740"/>
      <c r="E81" s="770">
        <f>+E80*M81</f>
        <v>0</v>
      </c>
      <c r="F81" s="740"/>
      <c r="G81" s="770">
        <f>+G80*M81</f>
        <v>6130</v>
      </c>
      <c r="H81" s="740"/>
      <c r="I81" s="770">
        <f>+I80*M81</f>
        <v>0</v>
      </c>
      <c r="J81" s="352"/>
      <c r="K81" s="352"/>
      <c r="L81" s="740"/>
      <c r="M81" s="771">
        <f>+G20</f>
        <v>6130</v>
      </c>
    </row>
    <row r="82" spans="1:13" ht="20.25" thickBot="1">
      <c r="A82" s="753"/>
      <c r="B82" s="754"/>
      <c r="C82" s="740"/>
      <c r="D82" s="740"/>
      <c r="E82" s="775"/>
      <c r="F82" s="740"/>
      <c r="G82" s="775"/>
      <c r="H82" s="740"/>
      <c r="I82" s="775"/>
      <c r="J82" s="352"/>
      <c r="K82" s="352"/>
      <c r="L82" s="740"/>
      <c r="M82" s="758"/>
    </row>
    <row r="83" spans="1:13" ht="20.25" thickBot="1">
      <c r="A83" s="753">
        <f>+A81+1</f>
        <v>57</v>
      </c>
      <c r="B83" s="754"/>
      <c r="C83" s="740" t="str">
        <f>"Total Other Jurisdictions: (Line "&amp;A21&amp;" * Net Plant Allocator)"</f>
        <v>Total Other Jurisdictions: (Line 7 * Net Plant Allocator)</v>
      </c>
      <c r="D83" s="740"/>
      <c r="E83" s="775"/>
      <c r="F83" s="740"/>
      <c r="G83" s="775">
        <f>+M83*NP_h</f>
        <v>0</v>
      </c>
      <c r="H83" s="740"/>
      <c r="I83" s="775"/>
      <c r="J83" s="740"/>
      <c r="K83" s="775"/>
      <c r="L83" s="740"/>
      <c r="M83" s="771">
        <f>+G21</f>
        <v>0</v>
      </c>
    </row>
    <row r="84" spans="1:13" ht="19.5">
      <c r="A84" s="753"/>
      <c r="B84" s="754"/>
      <c r="C84" s="740"/>
      <c r="D84" s="740"/>
      <c r="E84" s="758"/>
      <c r="F84" s="352"/>
      <c r="G84" s="760"/>
      <c r="H84" s="352"/>
      <c r="I84" s="759"/>
      <c r="J84" s="352"/>
      <c r="K84" s="758"/>
      <c r="L84" s="740"/>
      <c r="M84" s="758"/>
    </row>
    <row r="85" spans="1:13" ht="20.25" thickBot="1">
      <c r="A85" s="753">
        <f>+A83+1</f>
        <v>58</v>
      </c>
      <c r="B85" s="754"/>
      <c r="C85" s="740" t="str">
        <f>"Total Func. Property Taxes (Sum Lns "&amp;A58&amp;", "&amp;A70&amp;" "&amp;A81&amp;", "&amp;A83&amp;")"</f>
        <v>Total Func. Property Taxes (Sum Lns 35, 46 56, 57)</v>
      </c>
      <c r="D85" s="740"/>
      <c r="E85" s="776">
        <f>+E83+E81+E70+E58</f>
        <v>0</v>
      </c>
      <c r="F85" s="352"/>
      <c r="G85" s="776">
        <f>+G83+G81+G70+G58</f>
        <v>6130</v>
      </c>
      <c r="H85" s="352"/>
      <c r="I85" s="776">
        <f>+I83+I81+I70+I58</f>
        <v>0</v>
      </c>
      <c r="J85" s="352"/>
      <c r="K85" s="352"/>
      <c r="L85" s="740"/>
      <c r="M85" s="776">
        <f>+M83+M81+M70+M58</f>
        <v>6130</v>
      </c>
    </row>
    <row r="86" ht="15.75" thickTop="1"/>
    <row r="191" ht="15.75" thickBot="1"/>
    <row r="192" ht="20.25" thickBot="1">
      <c r="G192" s="779" t="e">
        <f>IF(#REF!&lt;&gt;0,+#REF!/#REF!*#REF!,0)</f>
        <v>#REF!</v>
      </c>
    </row>
  </sheetData>
  <sheetProtection password="CA99" sheet="1" objects="1" scenarios="1"/>
  <mergeCells count="7">
    <mergeCell ref="A6:M6"/>
    <mergeCell ref="A5:M5"/>
    <mergeCell ref="C44:M44"/>
    <mergeCell ref="A1:M1"/>
    <mergeCell ref="A2:M2"/>
    <mergeCell ref="A3:M3"/>
    <mergeCell ref="A4:M4"/>
  </mergeCells>
  <printOptions/>
  <pageMargins left="0.82" right="1.28" top="0.81" bottom="1" header="0.75" footer="0.5"/>
  <pageSetup horizontalDpi="600" verticalDpi="600" orientation="portrait" scale="37" r:id="rId1"/>
  <headerFooter alignWithMargins="0">
    <oddHeader>&amp;R&amp;"Arial,Bold"Formula Rate 
&amp;A
Page &amp;P of &amp;N</oddHeader>
  </headerFooter>
  <colBreaks count="1" manualBreakCount="1">
    <brk id="13" max="88" man="1"/>
  </colBreaks>
</worksheet>
</file>

<file path=xl/worksheets/sheet11.xml><?xml version="1.0" encoding="utf-8"?>
<worksheet xmlns="http://schemas.openxmlformats.org/spreadsheetml/2006/main" xmlns:r="http://schemas.openxmlformats.org/officeDocument/2006/relationships">
  <sheetPr>
    <tabColor rgb="FFCCFFFF"/>
    <pageSetUpPr fitToPage="1"/>
  </sheetPr>
  <dimension ref="A1:T110"/>
  <sheetViews>
    <sheetView zoomScale="60" zoomScaleNormal="60" zoomScalePageLayoutView="0" workbookViewId="0" topLeftCell="A10">
      <selection activeCell="F33" sqref="F33"/>
    </sheetView>
  </sheetViews>
  <sheetFormatPr defaultColWidth="9.140625" defaultRowHeight="12.75"/>
  <cols>
    <col min="1" max="1" width="7.28125" style="151" customWidth="1"/>
    <col min="2" max="2" width="1.7109375" style="152" customWidth="1"/>
    <col min="3" max="3" width="62.421875" style="152" customWidth="1"/>
    <col min="4" max="4" width="19.140625" style="152" customWidth="1"/>
    <col min="5" max="5" width="20.421875" style="146" customWidth="1"/>
    <col min="6" max="6" width="20.421875" style="139" bestFit="1" customWidth="1"/>
    <col min="7" max="7" width="35.7109375" style="139" bestFit="1" customWidth="1"/>
    <col min="8" max="16384" width="9.140625" style="139" customWidth="1"/>
  </cols>
  <sheetData>
    <row r="1" spans="1:7" ht="18.75" customHeight="1">
      <c r="A1" s="1250" t="str">
        <f>TCOS!$F$3</f>
        <v>AEPTCo subsidiaries in PJM</v>
      </c>
      <c r="B1" s="1250" t="str">
        <f>TCOS!$F$3</f>
        <v>AEPTCo subsidiaries in PJM</v>
      </c>
      <c r="C1" s="1250" t="str">
        <f>TCOS!$F$3</f>
        <v>AEPTCo subsidiaries in PJM</v>
      </c>
      <c r="D1" s="1250" t="str">
        <f>TCOS!$F$3</f>
        <v>AEPTCo subsidiaries in PJM</v>
      </c>
      <c r="E1" s="1250" t="str">
        <f>TCOS!$F$3</f>
        <v>AEPTCo subsidiaries in PJM</v>
      </c>
      <c r="F1" s="1274"/>
      <c r="G1" s="1274"/>
    </row>
    <row r="2" spans="1:13" ht="18.75" customHeight="1">
      <c r="A2" s="1250" t="str">
        <f>"Cost of Service Formula Rate Using Actual/Projected FF1 Balances"</f>
        <v>Cost of Service Formula Rate Using Actual/Projected FF1 Balances</v>
      </c>
      <c r="B2" s="1250"/>
      <c r="C2" s="1250"/>
      <c r="D2" s="1250"/>
      <c r="E2" s="1250"/>
      <c r="F2" s="1274"/>
      <c r="G2" s="1274"/>
      <c r="H2" s="1250"/>
      <c r="I2" s="1250"/>
      <c r="J2" s="1250"/>
      <c r="K2" s="1250"/>
      <c r="L2" s="1250"/>
      <c r="M2" s="1274"/>
    </row>
    <row r="3" spans="1:7" ht="18.75" customHeight="1">
      <c r="A3" s="1251" t="s">
        <v>348</v>
      </c>
      <c r="B3" s="1251"/>
      <c r="C3" s="1251"/>
      <c r="D3" s="1251"/>
      <c r="E3" s="1251"/>
      <c r="F3" s="1274"/>
      <c r="G3" s="1274"/>
    </row>
    <row r="4" spans="1:13" ht="18" customHeight="1">
      <c r="A4" s="1276" t="str">
        <f>+TCOS!F7</f>
        <v>AEP APPALACHIAN TRANSMISSION COMPANY</v>
      </c>
      <c r="B4" s="1276"/>
      <c r="C4" s="1276"/>
      <c r="D4" s="1276"/>
      <c r="E4" s="1276"/>
      <c r="F4" s="1277"/>
      <c r="G4" s="1277"/>
      <c r="H4" s="291"/>
      <c r="I4" s="291"/>
      <c r="J4" s="291"/>
      <c r="K4" s="291"/>
      <c r="L4" s="291"/>
      <c r="M4" s="291"/>
    </row>
    <row r="5" spans="1:6" ht="18" customHeight="1">
      <c r="A5" s="178"/>
      <c r="B5" s="178"/>
      <c r="C5" s="178"/>
      <c r="D5" s="178"/>
      <c r="E5" s="178"/>
      <c r="F5" s="178"/>
    </row>
    <row r="6" spans="1:7" ht="19.5" customHeight="1">
      <c r="A6" s="141"/>
      <c r="B6" s="142"/>
      <c r="C6" s="67" t="s">
        <v>683</v>
      </c>
      <c r="E6" s="67" t="s">
        <v>684</v>
      </c>
      <c r="F6" s="249" t="s">
        <v>685</v>
      </c>
      <c r="G6" s="249" t="s">
        <v>686</v>
      </c>
    </row>
    <row r="7" spans="1:20" ht="18">
      <c r="A7" s="212"/>
      <c r="B7" s="213"/>
      <c r="C7" s="213"/>
      <c r="D7" s="213"/>
      <c r="E7"/>
      <c r="F7" s="46"/>
      <c r="G7" s="250"/>
      <c r="H7" s="70"/>
      <c r="I7" s="70"/>
      <c r="J7" s="70"/>
      <c r="K7" s="70"/>
      <c r="L7" s="70"/>
      <c r="M7" s="70"/>
      <c r="N7" s="70"/>
      <c r="O7" s="70"/>
      <c r="P7" s="70"/>
      <c r="Q7" s="70"/>
      <c r="R7" s="70"/>
      <c r="S7" s="70"/>
      <c r="T7" s="70"/>
    </row>
    <row r="8" spans="1:7" ht="18">
      <c r="A8" s="212" t="s">
        <v>690</v>
      </c>
      <c r="B8" s="213"/>
      <c r="C8" s="213"/>
      <c r="D8" s="213"/>
      <c r="E8" s="214" t="s">
        <v>641</v>
      </c>
      <c r="F8" s="251" t="s">
        <v>2</v>
      </c>
      <c r="G8" s="252"/>
    </row>
    <row r="9" spans="1:7" ht="18">
      <c r="A9" s="215" t="s">
        <v>640</v>
      </c>
      <c r="B9" s="253"/>
      <c r="C9" s="215" t="s">
        <v>366</v>
      </c>
      <c r="D9" s="253"/>
      <c r="E9" s="216" t="s">
        <v>724</v>
      </c>
      <c r="F9" s="215" t="s">
        <v>3</v>
      </c>
      <c r="G9" s="216" t="s">
        <v>4</v>
      </c>
    </row>
    <row r="10" spans="1:7" ht="18">
      <c r="A10" s="143"/>
      <c r="B10" s="142"/>
      <c r="C10" s="138"/>
      <c r="D10" s="138"/>
      <c r="E10" s="138"/>
      <c r="F10" s="251"/>
      <c r="G10" s="254"/>
    </row>
    <row r="11" spans="1:6" ht="19.5">
      <c r="A11" s="141">
        <v>1</v>
      </c>
      <c r="B11" s="142"/>
      <c r="C11" s="144" t="s">
        <v>170</v>
      </c>
      <c r="D11" s="142"/>
      <c r="E11" s="137"/>
      <c r="F11" s="140"/>
    </row>
    <row r="12" spans="1:7" ht="19.5">
      <c r="A12" s="141">
        <f>+A11+1</f>
        <v>2</v>
      </c>
      <c r="B12" s="142"/>
      <c r="C12" s="137" t="s">
        <v>155</v>
      </c>
      <c r="D12" s="142"/>
      <c r="E12" s="261">
        <f>SUM(F13:F15)</f>
        <v>0</v>
      </c>
      <c r="F12" s="150"/>
      <c r="G12" s="255"/>
    </row>
    <row r="13" spans="1:7" ht="19.5">
      <c r="A13" s="141"/>
      <c r="B13" s="142"/>
      <c r="C13" s="137"/>
      <c r="D13" s="142"/>
      <c r="E13" s="256"/>
      <c r="F13" s="784"/>
      <c r="G13" s="785" t="s">
        <v>5</v>
      </c>
    </row>
    <row r="14" spans="1:7" ht="19.5">
      <c r="A14" s="141"/>
      <c r="B14" s="142"/>
      <c r="C14" s="137"/>
      <c r="D14" s="142"/>
      <c r="E14" s="256"/>
      <c r="F14" s="784"/>
      <c r="G14" s="785" t="s">
        <v>6</v>
      </c>
    </row>
    <row r="15" spans="1:7" ht="19.5">
      <c r="A15" s="141"/>
      <c r="B15" s="142"/>
      <c r="C15" s="137"/>
      <c r="D15" s="142"/>
      <c r="E15" s="256"/>
      <c r="F15" s="784"/>
      <c r="G15" s="785" t="s">
        <v>7</v>
      </c>
    </row>
    <row r="16" spans="1:7" ht="19.5">
      <c r="A16" s="141">
        <f>+A12+1</f>
        <v>3</v>
      </c>
      <c r="B16" s="142"/>
      <c r="C16" s="144" t="s">
        <v>171</v>
      </c>
      <c r="D16" s="142"/>
      <c r="E16" s="262"/>
      <c r="F16" s="256"/>
      <c r="G16" s="150"/>
    </row>
    <row r="17" spans="1:7" ht="19.5">
      <c r="A17" s="141">
        <f>+A16+1</f>
        <v>4</v>
      </c>
      <c r="B17" s="142"/>
      <c r="C17" s="140" t="s">
        <v>374</v>
      </c>
      <c r="D17" s="140"/>
      <c r="E17" s="261">
        <f>SUM(F18:F23)</f>
        <v>0</v>
      </c>
      <c r="F17" s="256"/>
      <c r="G17" s="150"/>
    </row>
    <row r="18" spans="1:7" ht="19.5">
      <c r="A18" s="141"/>
      <c r="B18" s="142"/>
      <c r="C18" s="140"/>
      <c r="D18" s="140"/>
      <c r="E18" s="261"/>
      <c r="F18" s="784" t="s">
        <v>637</v>
      </c>
      <c r="G18" s="785" t="s">
        <v>376</v>
      </c>
    </row>
    <row r="19" spans="1:7" ht="19.5">
      <c r="A19" s="141"/>
      <c r="B19" s="142"/>
      <c r="C19" s="140"/>
      <c r="D19" s="140"/>
      <c r="E19" s="261"/>
      <c r="F19" s="784" t="s">
        <v>637</v>
      </c>
      <c r="G19" s="785" t="s">
        <v>822</v>
      </c>
    </row>
    <row r="20" spans="1:7" ht="19.5">
      <c r="A20" s="141"/>
      <c r="B20" s="142"/>
      <c r="C20" s="140"/>
      <c r="D20" s="140"/>
      <c r="E20" s="261"/>
      <c r="F20" s="784" t="s">
        <v>637</v>
      </c>
      <c r="G20" s="785" t="s">
        <v>377</v>
      </c>
    </row>
    <row r="21" spans="1:7" ht="19.5">
      <c r="A21" s="141"/>
      <c r="B21" s="142"/>
      <c r="C21" s="140"/>
      <c r="D21" s="140"/>
      <c r="E21" s="261"/>
      <c r="F21" s="784"/>
      <c r="G21" s="785" t="s">
        <v>8</v>
      </c>
    </row>
    <row r="22" spans="1:7" ht="19.5">
      <c r="A22" s="141"/>
      <c r="B22" s="142"/>
      <c r="C22" s="140"/>
      <c r="D22" s="140"/>
      <c r="E22" s="261"/>
      <c r="F22" s="784"/>
      <c r="G22" s="785" t="s">
        <v>9</v>
      </c>
    </row>
    <row r="23" spans="1:7" ht="19.5">
      <c r="A23" s="141"/>
      <c r="B23" s="142"/>
      <c r="C23" s="140"/>
      <c r="D23" s="140"/>
      <c r="E23" s="261"/>
      <c r="F23" s="784"/>
      <c r="G23" s="785" t="s">
        <v>10</v>
      </c>
    </row>
    <row r="24" spans="1:7" ht="19.5">
      <c r="A24" s="141">
        <f>+A17+1</f>
        <v>5</v>
      </c>
      <c r="B24" s="142"/>
      <c r="C24" s="140" t="s">
        <v>375</v>
      </c>
      <c r="D24" s="140"/>
      <c r="E24" s="261">
        <f>SUM(F25:F30)</f>
        <v>0</v>
      </c>
      <c r="F24" s="177"/>
      <c r="G24" s="150"/>
    </row>
    <row r="25" spans="1:7" ht="19.5">
      <c r="A25" s="141"/>
      <c r="B25" s="142"/>
      <c r="C25" s="140"/>
      <c r="D25" s="140"/>
      <c r="E25" s="261"/>
      <c r="F25" s="784"/>
      <c r="G25" s="785" t="s">
        <v>824</v>
      </c>
    </row>
    <row r="26" spans="1:7" ht="19.5">
      <c r="A26" s="141"/>
      <c r="B26" s="142"/>
      <c r="C26" s="140"/>
      <c r="D26" s="140"/>
      <c r="E26" s="261"/>
      <c r="F26" s="784"/>
      <c r="G26" s="785" t="s">
        <v>823</v>
      </c>
    </row>
    <row r="27" spans="1:7" ht="19.5">
      <c r="A27" s="141"/>
      <c r="B27" s="142"/>
      <c r="C27" s="140"/>
      <c r="D27" s="140"/>
      <c r="E27" s="261"/>
      <c r="F27" s="784"/>
      <c r="G27" s="785" t="s">
        <v>11</v>
      </c>
    </row>
    <row r="28" spans="1:7" ht="19.5">
      <c r="A28" s="141"/>
      <c r="B28" s="142"/>
      <c r="C28" s="140"/>
      <c r="D28" s="140"/>
      <c r="E28" s="261"/>
      <c r="F28" s="784"/>
      <c r="G28" s="785" t="s">
        <v>12</v>
      </c>
    </row>
    <row r="29" spans="1:7" ht="19.5">
      <c r="A29" s="141"/>
      <c r="B29" s="142"/>
      <c r="C29" s="140"/>
      <c r="D29" s="140"/>
      <c r="E29" s="261"/>
      <c r="F29" s="784"/>
      <c r="G29" s="785" t="s">
        <v>13</v>
      </c>
    </row>
    <row r="30" spans="1:7" ht="19.5">
      <c r="A30" s="141"/>
      <c r="B30" s="142"/>
      <c r="C30" s="140"/>
      <c r="D30" s="140"/>
      <c r="E30" s="261"/>
      <c r="F30" s="784"/>
      <c r="G30" s="785" t="s">
        <v>14</v>
      </c>
    </row>
    <row r="31" spans="1:6" ht="19.5">
      <c r="A31" s="141">
        <f>+A24+1</f>
        <v>6</v>
      </c>
      <c r="B31" s="142"/>
      <c r="C31" s="140" t="s">
        <v>825</v>
      </c>
      <c r="D31" s="140"/>
      <c r="E31" s="261">
        <f>+F32+F33</f>
        <v>6130</v>
      </c>
      <c r="F31" s="150"/>
    </row>
    <row r="32" spans="1:7" ht="19.5">
      <c r="A32" s="141"/>
      <c r="B32" s="142"/>
      <c r="C32" s="140"/>
      <c r="D32" s="140"/>
      <c r="E32" s="261"/>
      <c r="F32" s="784">
        <v>6130</v>
      </c>
      <c r="G32" s="785" t="s">
        <v>15</v>
      </c>
    </row>
    <row r="33" spans="1:8" ht="19.5">
      <c r="A33" s="141"/>
      <c r="B33" s="142"/>
      <c r="C33" s="140"/>
      <c r="D33" s="140"/>
      <c r="E33" s="261"/>
      <c r="F33" s="784"/>
      <c r="G33" s="785" t="s">
        <v>16</v>
      </c>
      <c r="H33" s="257"/>
    </row>
    <row r="34" spans="1:6" ht="19.5">
      <c r="A34" s="141">
        <f>+A31+1</f>
        <v>7</v>
      </c>
      <c r="B34" s="142"/>
      <c r="C34" s="140" t="s">
        <v>344</v>
      </c>
      <c r="D34" s="226"/>
      <c r="E34" s="261">
        <f>+F35</f>
        <v>0</v>
      </c>
      <c r="F34" s="258"/>
    </row>
    <row r="35" spans="1:7" ht="19.5">
      <c r="A35" s="141"/>
      <c r="B35" s="142"/>
      <c r="C35" s="145"/>
      <c r="D35" s="142"/>
      <c r="E35" s="262"/>
      <c r="F35" s="784"/>
      <c r="G35" s="785" t="s">
        <v>17</v>
      </c>
    </row>
    <row r="36" spans="1:7" ht="19.5">
      <c r="A36" s="141">
        <f>+A34+1</f>
        <v>8</v>
      </c>
      <c r="B36" s="142"/>
      <c r="C36" s="144" t="s">
        <v>172</v>
      </c>
      <c r="D36" s="142"/>
      <c r="E36" s="262"/>
      <c r="F36" s="259"/>
      <c r="G36" s="150"/>
    </row>
    <row r="37" spans="1:7" ht="19.5">
      <c r="A37" s="141">
        <f>+A36+1</f>
        <v>9</v>
      </c>
      <c r="B37" s="142"/>
      <c r="C37" s="140" t="s">
        <v>168</v>
      </c>
      <c r="D37" s="142"/>
      <c r="E37" s="261">
        <f>+F38</f>
        <v>0</v>
      </c>
      <c r="F37" s="150"/>
      <c r="G37" s="150"/>
    </row>
    <row r="38" spans="1:7" ht="19.5">
      <c r="A38" s="141"/>
      <c r="B38" s="142"/>
      <c r="C38" s="140"/>
      <c r="D38" s="142"/>
      <c r="E38" s="261"/>
      <c r="F38" s="784"/>
      <c r="G38" s="785" t="s">
        <v>18</v>
      </c>
    </row>
    <row r="39" spans="1:7" ht="19.5">
      <c r="A39" s="141">
        <f>+A37+1</f>
        <v>10</v>
      </c>
      <c r="B39" s="142"/>
      <c r="C39" s="140" t="s">
        <v>161</v>
      </c>
      <c r="D39" s="142"/>
      <c r="E39" s="261">
        <f>+F40</f>
        <v>0</v>
      </c>
      <c r="F39" s="150"/>
      <c r="G39" s="150"/>
    </row>
    <row r="40" spans="1:7" ht="19.5">
      <c r="A40" s="141"/>
      <c r="B40" s="142"/>
      <c r="C40" s="140"/>
      <c r="D40" s="142"/>
      <c r="E40" s="261"/>
      <c r="F40" s="784"/>
      <c r="G40" s="785" t="s">
        <v>19</v>
      </c>
    </row>
    <row r="41" spans="1:7" ht="19.5">
      <c r="A41" s="141">
        <f>+A39+1</f>
        <v>11</v>
      </c>
      <c r="B41" s="142"/>
      <c r="C41" s="140" t="s">
        <v>162</v>
      </c>
      <c r="D41" s="142"/>
      <c r="E41" s="261">
        <f>+F42+F43+F44</f>
        <v>0</v>
      </c>
      <c r="F41" s="150"/>
      <c r="G41" s="150"/>
    </row>
    <row r="42" spans="1:7" ht="19.5">
      <c r="A42" s="141" t="s">
        <v>637</v>
      </c>
      <c r="B42" s="142"/>
      <c r="C42" s="137"/>
      <c r="D42" s="142"/>
      <c r="E42" s="262"/>
      <c r="F42" s="784"/>
      <c r="G42" s="785" t="s">
        <v>20</v>
      </c>
    </row>
    <row r="43" spans="1:7" ht="19.5">
      <c r="A43" s="141"/>
      <c r="B43" s="142"/>
      <c r="C43" s="137"/>
      <c r="D43" s="142"/>
      <c r="E43" s="262"/>
      <c r="F43" s="784"/>
      <c r="G43" s="785" t="s">
        <v>21</v>
      </c>
    </row>
    <row r="44" spans="1:7" ht="19.5">
      <c r="A44" s="141"/>
      <c r="B44" s="142"/>
      <c r="C44" s="137"/>
      <c r="D44" s="142"/>
      <c r="E44" s="262"/>
      <c r="F44" s="784"/>
      <c r="G44" s="785" t="s">
        <v>22</v>
      </c>
    </row>
    <row r="45" spans="1:7" ht="19.5">
      <c r="A45" s="141">
        <f>A41+1</f>
        <v>12</v>
      </c>
      <c r="B45" s="142"/>
      <c r="C45" s="293" t="s">
        <v>474</v>
      </c>
      <c r="D45" s="142"/>
      <c r="E45" s="292"/>
      <c r="F45" s="150"/>
      <c r="G45" s="150"/>
    </row>
    <row r="46" spans="1:7" ht="19.5">
      <c r="A46" s="141">
        <f>A45+1</f>
        <v>13</v>
      </c>
      <c r="B46" s="142"/>
      <c r="C46" s="150" t="s">
        <v>300</v>
      </c>
      <c r="D46" s="226"/>
      <c r="E46" s="261">
        <f>+F47</f>
        <v>0</v>
      </c>
      <c r="G46" s="150"/>
    </row>
    <row r="47" spans="1:7" ht="19.5">
      <c r="A47" s="141"/>
      <c r="B47" s="142"/>
      <c r="C47" s="137"/>
      <c r="D47" s="142"/>
      <c r="E47" s="262"/>
      <c r="F47" s="784"/>
      <c r="G47" s="785"/>
    </row>
    <row r="48" spans="1:7" ht="19.5">
      <c r="A48" s="147">
        <f>A46+1</f>
        <v>14</v>
      </c>
      <c r="B48" s="148"/>
      <c r="C48" s="144" t="s">
        <v>169</v>
      </c>
      <c r="D48" s="149"/>
      <c r="E48" s="262"/>
      <c r="F48" s="256"/>
      <c r="G48" s="150"/>
    </row>
    <row r="49" spans="1:7" ht="19.5">
      <c r="A49" s="147">
        <f>A48+1</f>
        <v>15</v>
      </c>
      <c r="B49" s="148"/>
      <c r="C49" s="137" t="s">
        <v>299</v>
      </c>
      <c r="D49" s="149"/>
      <c r="E49" s="261">
        <f>+F50+F51</f>
        <v>0</v>
      </c>
      <c r="F49" s="150"/>
      <c r="G49" s="150"/>
    </row>
    <row r="50" spans="1:7" ht="19.5">
      <c r="A50" s="147"/>
      <c r="B50" s="148"/>
      <c r="C50" s="137"/>
      <c r="D50" s="149"/>
      <c r="E50" s="261"/>
      <c r="F50" s="784"/>
      <c r="G50" s="785" t="s">
        <v>23</v>
      </c>
    </row>
    <row r="51" spans="1:7" ht="19.5">
      <c r="A51" s="147"/>
      <c r="B51" s="148"/>
      <c r="C51" s="137"/>
      <c r="D51" s="149"/>
      <c r="E51" s="261"/>
      <c r="F51" s="784"/>
      <c r="G51" s="785" t="s">
        <v>28</v>
      </c>
    </row>
    <row r="52" spans="1:7" ht="19.5">
      <c r="A52" s="141">
        <f>A49+1</f>
        <v>16</v>
      </c>
      <c r="B52" s="142"/>
      <c r="C52" s="137" t="s">
        <v>163</v>
      </c>
      <c r="D52" s="142"/>
      <c r="E52" s="177">
        <f>+F53+F54+F55</f>
        <v>0</v>
      </c>
      <c r="F52" s="150"/>
      <c r="G52" s="150"/>
    </row>
    <row r="53" spans="1:7" ht="19.5">
      <c r="A53" s="141"/>
      <c r="B53" s="142"/>
      <c r="C53" s="137"/>
      <c r="D53" s="142"/>
      <c r="E53" s="177"/>
      <c r="F53" s="784"/>
      <c r="G53" s="785" t="s">
        <v>29</v>
      </c>
    </row>
    <row r="54" spans="1:7" ht="19.5">
      <c r="A54" s="141"/>
      <c r="B54" s="142"/>
      <c r="C54" s="137"/>
      <c r="D54" s="142"/>
      <c r="E54" s="177"/>
      <c r="F54" s="784"/>
      <c r="G54" s="785" t="s">
        <v>30</v>
      </c>
    </row>
    <row r="55" spans="1:7" ht="19.5">
      <c r="A55" s="141"/>
      <c r="B55" s="142"/>
      <c r="C55" s="137"/>
      <c r="D55" s="142"/>
      <c r="E55" s="177"/>
      <c r="F55" s="784"/>
      <c r="G55" s="785" t="s">
        <v>31</v>
      </c>
    </row>
    <row r="56" spans="1:7" ht="19.5">
      <c r="A56" s="141">
        <f>+A52+1</f>
        <v>17</v>
      </c>
      <c r="B56" s="142"/>
      <c r="C56" s="137" t="s">
        <v>164</v>
      </c>
      <c r="D56"/>
      <c r="E56" s="177">
        <f>SUM(F57:F67)</f>
        <v>0</v>
      </c>
      <c r="F56" s="150"/>
      <c r="G56" s="150"/>
    </row>
    <row r="57" spans="1:7" ht="19.5">
      <c r="A57" s="141"/>
      <c r="B57" s="142"/>
      <c r="C57" s="137"/>
      <c r="D57"/>
      <c r="E57" s="177"/>
      <c r="F57" s="784"/>
      <c r="G57" s="785" t="s">
        <v>32</v>
      </c>
    </row>
    <row r="58" spans="1:7" ht="19.5">
      <c r="A58" s="141"/>
      <c r="B58" s="142"/>
      <c r="C58" s="137"/>
      <c r="D58"/>
      <c r="E58" s="177"/>
      <c r="F58" s="784"/>
      <c r="G58" s="785" t="s">
        <v>33</v>
      </c>
    </row>
    <row r="59" spans="1:7" ht="19.5">
      <c r="A59" s="141"/>
      <c r="B59" s="142"/>
      <c r="C59" s="137"/>
      <c r="D59"/>
      <c r="E59" s="177"/>
      <c r="F59" s="784"/>
      <c r="G59" s="785" t="s">
        <v>34</v>
      </c>
    </row>
    <row r="60" spans="1:7" ht="19.5">
      <c r="A60" s="141"/>
      <c r="B60" s="142"/>
      <c r="C60" s="137"/>
      <c r="D60"/>
      <c r="E60" s="177"/>
      <c r="F60" s="784"/>
      <c r="G60" s="785" t="s">
        <v>35</v>
      </c>
    </row>
    <row r="61" spans="1:7" ht="19.5">
      <c r="A61" s="141"/>
      <c r="B61" s="142"/>
      <c r="C61" s="137"/>
      <c r="D61"/>
      <c r="E61" s="177"/>
      <c r="F61" s="784"/>
      <c r="G61" s="785" t="s">
        <v>36</v>
      </c>
    </row>
    <row r="62" spans="1:7" ht="19.5">
      <c r="A62" s="141"/>
      <c r="B62" s="142"/>
      <c r="C62" s="137"/>
      <c r="D62"/>
      <c r="E62" s="177"/>
      <c r="F62" s="784"/>
      <c r="G62" s="785" t="s">
        <v>37</v>
      </c>
    </row>
    <row r="63" spans="1:7" ht="19.5">
      <c r="A63" s="141"/>
      <c r="B63" s="142"/>
      <c r="C63" s="137"/>
      <c r="D63"/>
      <c r="E63" s="177"/>
      <c r="F63" s="784"/>
      <c r="G63" s="785" t="s">
        <v>38</v>
      </c>
    </row>
    <row r="64" spans="1:7" ht="19.5">
      <c r="A64" s="141"/>
      <c r="B64" s="142"/>
      <c r="C64" s="137"/>
      <c r="D64"/>
      <c r="E64" s="177"/>
      <c r="F64" s="784"/>
      <c r="G64" s="785" t="s">
        <v>39</v>
      </c>
    </row>
    <row r="65" spans="1:7" ht="19.5">
      <c r="A65" s="141"/>
      <c r="B65" s="142"/>
      <c r="C65" s="137"/>
      <c r="D65"/>
      <c r="E65" s="177"/>
      <c r="F65" s="784"/>
      <c r="G65" s="785" t="s">
        <v>40</v>
      </c>
    </row>
    <row r="66" spans="1:7" ht="19.5">
      <c r="A66" s="141"/>
      <c r="B66" s="142"/>
      <c r="C66" s="137"/>
      <c r="D66"/>
      <c r="E66" s="177"/>
      <c r="F66" s="784"/>
      <c r="G66" s="785" t="s">
        <v>41</v>
      </c>
    </row>
    <row r="67" spans="1:7" ht="19.5">
      <c r="A67" s="141"/>
      <c r="B67" s="142"/>
      <c r="C67" s="137"/>
      <c r="D67"/>
      <c r="E67" s="177"/>
      <c r="F67" s="784"/>
      <c r="G67" s="785" t="s">
        <v>42</v>
      </c>
    </row>
    <row r="68" spans="1:7" ht="19.5">
      <c r="A68" s="141">
        <f>+A56+1</f>
        <v>18</v>
      </c>
      <c r="B68" s="142"/>
      <c r="C68" s="137" t="s">
        <v>165</v>
      </c>
      <c r="D68"/>
      <c r="E68" s="177">
        <f>SUM(F69:F72)</f>
        <v>0</v>
      </c>
      <c r="F68" s="150"/>
      <c r="G68" s="150"/>
    </row>
    <row r="69" spans="1:7" ht="19.5">
      <c r="A69" s="141"/>
      <c r="B69" s="142"/>
      <c r="C69" s="137"/>
      <c r="D69"/>
      <c r="E69" s="177"/>
      <c r="F69" s="784"/>
      <c r="G69" s="785" t="s">
        <v>43</v>
      </c>
    </row>
    <row r="70" spans="1:7" ht="19.5">
      <c r="A70" s="141"/>
      <c r="B70" s="142"/>
      <c r="C70" s="137"/>
      <c r="D70"/>
      <c r="E70" s="177"/>
      <c r="F70" s="784"/>
      <c r="G70" s="785" t="s">
        <v>44</v>
      </c>
    </row>
    <row r="71" spans="1:7" ht="19.5">
      <c r="A71" s="141"/>
      <c r="B71" s="142"/>
      <c r="C71" s="137"/>
      <c r="D71"/>
      <c r="E71" s="177"/>
      <c r="F71" s="784"/>
      <c r="G71" s="785" t="s">
        <v>45</v>
      </c>
    </row>
    <row r="72" spans="1:7" ht="19.5">
      <c r="A72" s="141"/>
      <c r="B72" s="142"/>
      <c r="C72" s="137"/>
      <c r="D72"/>
      <c r="E72" s="177"/>
      <c r="F72" s="784"/>
      <c r="G72" s="785" t="s">
        <v>46</v>
      </c>
    </row>
    <row r="73" spans="1:7" ht="19.5">
      <c r="A73" s="141">
        <f>+A68+1</f>
        <v>19</v>
      </c>
      <c r="B73" s="142"/>
      <c r="C73" s="137" t="s">
        <v>166</v>
      </c>
      <c r="D73" s="142"/>
      <c r="E73" s="177">
        <f>SUM(F74:F75)</f>
        <v>0</v>
      </c>
      <c r="F73" s="150"/>
      <c r="G73" s="150"/>
    </row>
    <row r="74" spans="1:7" ht="19.5">
      <c r="A74" s="141"/>
      <c r="B74" s="142"/>
      <c r="C74" s="137"/>
      <c r="D74" s="142"/>
      <c r="E74" s="177"/>
      <c r="F74" s="784"/>
      <c r="G74" s="785" t="s">
        <v>18</v>
      </c>
    </row>
    <row r="75" spans="1:7" ht="19.5">
      <c r="A75" s="141"/>
      <c r="B75" s="142"/>
      <c r="C75" s="137"/>
      <c r="D75" s="142"/>
      <c r="E75" s="177"/>
      <c r="F75" s="784"/>
      <c r="G75" s="785" t="s">
        <v>832</v>
      </c>
    </row>
    <row r="76" spans="1:7" ht="19.5">
      <c r="A76" s="141">
        <f>+A73+1</f>
        <v>20</v>
      </c>
      <c r="B76" s="142"/>
      <c r="C76" s="137" t="s">
        <v>167</v>
      </c>
      <c r="D76" s="142"/>
      <c r="E76" s="177">
        <f>SUM(F77:F81)</f>
        <v>0</v>
      </c>
      <c r="F76" s="150"/>
      <c r="G76" s="150"/>
    </row>
    <row r="77" spans="1:7" ht="19.5">
      <c r="A77" s="141"/>
      <c r="B77" s="142"/>
      <c r="C77" s="137"/>
      <c r="D77" s="142"/>
      <c r="E77" s="177"/>
      <c r="F77" s="784"/>
      <c r="G77" s="785" t="s">
        <v>47</v>
      </c>
    </row>
    <row r="78" spans="1:7" ht="19.5">
      <c r="A78" s="141"/>
      <c r="B78" s="142"/>
      <c r="C78" s="137"/>
      <c r="D78" s="142"/>
      <c r="E78" s="177"/>
      <c r="F78" s="784"/>
      <c r="G78" s="785" t="s">
        <v>48</v>
      </c>
    </row>
    <row r="79" spans="1:7" ht="19.5">
      <c r="A79" s="141"/>
      <c r="B79" s="142"/>
      <c r="C79" s="137"/>
      <c r="D79" s="142"/>
      <c r="E79" s="177"/>
      <c r="F79" s="784"/>
      <c r="G79" s="785" t="s">
        <v>49</v>
      </c>
    </row>
    <row r="80" spans="1:7" ht="19.5">
      <c r="A80" s="141"/>
      <c r="B80" s="142"/>
      <c r="C80" s="137"/>
      <c r="D80" s="142"/>
      <c r="E80" s="177"/>
      <c r="F80" s="784"/>
      <c r="G80" s="785" t="s">
        <v>50</v>
      </c>
    </row>
    <row r="81" spans="1:7" ht="19.5">
      <c r="A81" s="141"/>
      <c r="B81" s="142"/>
      <c r="C81" s="137"/>
      <c r="D81" s="142"/>
      <c r="E81" s="177"/>
      <c r="F81" s="784"/>
      <c r="G81" s="785" t="s">
        <v>51</v>
      </c>
    </row>
    <row r="82" spans="1:7" ht="19.5">
      <c r="A82" s="141">
        <f>+A76+1</f>
        <v>21</v>
      </c>
      <c r="B82" s="137"/>
      <c r="C82" s="137" t="s">
        <v>156</v>
      </c>
      <c r="D82" s="137"/>
      <c r="E82" s="177">
        <f>SUM(F83:F84)</f>
        <v>0</v>
      </c>
      <c r="F82" s="260"/>
      <c r="G82" s="150"/>
    </row>
    <row r="83" spans="1:7" ht="19.5">
      <c r="A83" s="141"/>
      <c r="B83" s="137"/>
      <c r="C83" s="137"/>
      <c r="D83" s="137"/>
      <c r="E83" s="255"/>
      <c r="F83" s="784"/>
      <c r="G83" s="785" t="s">
        <v>52</v>
      </c>
    </row>
    <row r="84" spans="1:7" ht="19.5">
      <c r="A84" s="141"/>
      <c r="B84" s="137"/>
      <c r="C84" s="137"/>
      <c r="D84" s="137"/>
      <c r="E84" s="255"/>
      <c r="F84" s="784"/>
      <c r="G84" s="785" t="s">
        <v>53</v>
      </c>
    </row>
    <row r="85" spans="1:7" ht="19.5">
      <c r="A85" s="141">
        <f>+A82+1</f>
        <v>22</v>
      </c>
      <c r="B85" s="137"/>
      <c r="C85" s="154" t="s">
        <v>629</v>
      </c>
      <c r="D85" s="150"/>
      <c r="E85" s="261">
        <f>+F86</f>
        <v>0</v>
      </c>
      <c r="F85" s="260"/>
      <c r="G85" s="150"/>
    </row>
    <row r="86" spans="1:7" ht="19.5">
      <c r="A86" s="141"/>
      <c r="B86" s="137"/>
      <c r="C86" s="154"/>
      <c r="D86" s="150"/>
      <c r="E86" s="262"/>
      <c r="F86" s="784"/>
      <c r="G86" s="785"/>
    </row>
    <row r="87" spans="1:7" ht="19.5">
      <c r="A87" s="36"/>
      <c r="B87" s="243"/>
      <c r="C87" s="243"/>
      <c r="D87"/>
      <c r="E87"/>
      <c r="F87" s="260"/>
      <c r="G87" s="150"/>
    </row>
    <row r="88" spans="1:7" ht="20.25" thickBot="1">
      <c r="A88" s="237">
        <f>+A85+1</f>
        <v>23</v>
      </c>
      <c r="B88" s="243"/>
      <c r="C88" s="137" t="s">
        <v>160</v>
      </c>
      <c r="D88"/>
      <c r="E88" s="153">
        <f>SUM(E12:E86)</f>
        <v>6130</v>
      </c>
      <c r="F88" s="153">
        <f>SUM(F12:F86)</f>
        <v>6130</v>
      </c>
      <c r="G88" s="150"/>
    </row>
    <row r="89" spans="1:7" ht="20.25" thickTop="1">
      <c r="A89" s="36"/>
      <c r="B89" s="243"/>
      <c r="C89" s="137" t="s">
        <v>240</v>
      </c>
      <c r="D89"/>
      <c r="E89"/>
      <c r="F89" s="150"/>
      <c r="G89" s="150"/>
    </row>
    <row r="90" spans="1:7" ht="19.5">
      <c r="A90" s="36"/>
      <c r="B90" s="243"/>
      <c r="C90" s="137"/>
      <c r="D90"/>
      <c r="E90"/>
      <c r="F90" s="177" t="s">
        <v>637</v>
      </c>
      <c r="G90" s="150"/>
    </row>
    <row r="91" spans="1:7" ht="21.75" customHeight="1">
      <c r="A91" s="1275" t="s">
        <v>67</v>
      </c>
      <c r="B91" s="1275"/>
      <c r="C91" s="1275"/>
      <c r="D91" s="1275"/>
      <c r="E91" s="1275"/>
      <c r="F91" s="1275"/>
      <c r="G91" s="1275"/>
    </row>
    <row r="92" spans="1:7" ht="21.75" customHeight="1">
      <c r="A92" s="1275"/>
      <c r="B92" s="1275"/>
      <c r="C92" s="1275"/>
      <c r="D92" s="1275"/>
      <c r="E92" s="1275"/>
      <c r="F92" s="1275"/>
      <c r="G92" s="1275"/>
    </row>
    <row r="93" spans="1:7" ht="21.75" customHeight="1">
      <c r="A93" s="1275"/>
      <c r="B93" s="1275"/>
      <c r="C93" s="1275"/>
      <c r="D93" s="1275"/>
      <c r="E93" s="1275"/>
      <c r="F93" s="1275"/>
      <c r="G93" s="1275"/>
    </row>
    <row r="94" spans="1:7" ht="21.75" customHeight="1">
      <c r="A94" s="1275"/>
      <c r="B94" s="1275"/>
      <c r="C94" s="1275"/>
      <c r="D94" s="1275"/>
      <c r="E94" s="1275"/>
      <c r="F94" s="1275"/>
      <c r="G94" s="1275"/>
    </row>
    <row r="95" spans="1:7" ht="21.75" customHeight="1">
      <c r="A95" s="1275"/>
      <c r="B95" s="1275"/>
      <c r="C95" s="1275"/>
      <c r="D95" s="1275"/>
      <c r="E95" s="1275"/>
      <c r="F95" s="1275"/>
      <c r="G95" s="1275"/>
    </row>
    <row r="96" spans="2:7" ht="19.5">
      <c r="B96" s="176"/>
      <c r="F96" s="150"/>
      <c r="G96" s="150"/>
    </row>
    <row r="97" spans="2:7" ht="19.5">
      <c r="B97" s="176"/>
      <c r="F97" s="150"/>
      <c r="G97" s="150"/>
    </row>
    <row r="98" spans="2:7" ht="19.5">
      <c r="B98" s="176"/>
      <c r="F98" s="260"/>
      <c r="G98" s="150"/>
    </row>
    <row r="99" spans="2:7" ht="19.5">
      <c r="B99" s="176"/>
      <c r="F99" s="260"/>
      <c r="G99" s="150"/>
    </row>
    <row r="100" spans="2:7" ht="19.5">
      <c r="B100" s="176"/>
      <c r="F100" s="260"/>
      <c r="G100" s="150"/>
    </row>
    <row r="101" spans="2:7" ht="19.5">
      <c r="B101" s="176"/>
      <c r="F101" s="150"/>
      <c r="G101" s="255"/>
    </row>
    <row r="102" spans="2:7" ht="19.5">
      <c r="B102" s="176"/>
      <c r="F102" s="150"/>
      <c r="G102" s="255"/>
    </row>
    <row r="103" spans="2:7" ht="19.5">
      <c r="B103" s="176"/>
      <c r="F103" s="150"/>
      <c r="G103" s="255"/>
    </row>
    <row r="104" spans="2:7" ht="19.5">
      <c r="B104" s="176"/>
      <c r="F104" s="150"/>
      <c r="G104" s="255"/>
    </row>
    <row r="105" ht="12.75">
      <c r="B105" s="176"/>
    </row>
    <row r="106" ht="12.75">
      <c r="B106" s="176"/>
    </row>
    <row r="107" ht="12.75">
      <c r="B107" s="176"/>
    </row>
    <row r="108" ht="12.75">
      <c r="B108" s="176"/>
    </row>
    <row r="109" ht="12.75">
      <c r="B109" s="176"/>
    </row>
    <row r="110" ht="12.75">
      <c r="B110" s="176"/>
    </row>
  </sheetData>
  <sheetProtection password="CA99" sheet="1" objects="1" scenarios="1"/>
  <mergeCells count="6">
    <mergeCell ref="H2:M2"/>
    <mergeCell ref="A91:G95"/>
    <mergeCell ref="A1:G1"/>
    <mergeCell ref="A2:G2"/>
    <mergeCell ref="A3:G3"/>
    <mergeCell ref="A4:G4"/>
  </mergeCells>
  <printOptions/>
  <pageMargins left="0.82" right="1.28" top="0.67" bottom="0.56" header="0.75" footer="0.28"/>
  <pageSetup fitToHeight="1" fitToWidth="1" horizontalDpi="600" verticalDpi="600" orientation="portrait" scale="37" r:id="rId1"/>
  <headerFooter alignWithMargins="0">
    <oddHeader>&amp;R&amp;"Arial,Bold"Formula Rate 
&amp;A
Page &amp;P of &amp;N</oddHeader>
  </headerFooter>
  <colBreaks count="1" manualBreakCount="1">
    <brk id="5" max="93" man="1"/>
  </colBreaks>
</worksheet>
</file>

<file path=xl/worksheets/sheet12.xml><?xml version="1.0" encoding="utf-8"?>
<worksheet xmlns="http://schemas.openxmlformats.org/spreadsheetml/2006/main" xmlns:r="http://schemas.openxmlformats.org/officeDocument/2006/relationships">
  <sheetPr>
    <tabColor rgb="FFCCFFFF"/>
    <pageSetUpPr fitToPage="1"/>
  </sheetPr>
  <dimension ref="A1:M26"/>
  <sheetViews>
    <sheetView zoomScalePageLayoutView="0" workbookViewId="0" topLeftCell="A1">
      <selection activeCell="G19" sqref="G19"/>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8515625" style="0" customWidth="1"/>
    <col min="7" max="7" width="19.421875" style="0" customWidth="1"/>
    <col min="8" max="8" width="17.28125" style="0" customWidth="1"/>
    <col min="9" max="9" width="18.7109375" style="0" customWidth="1"/>
    <col min="10" max="10" width="1.421875" style="0" customWidth="1"/>
  </cols>
  <sheetData>
    <row r="1" spans="1:13" ht="18">
      <c r="A1" s="1279" t="str">
        <f>TCOS!$F$3</f>
        <v>AEPTCo subsidiaries in PJM</v>
      </c>
      <c r="B1" s="1279" t="str">
        <f>TCOS!$F$3</f>
        <v>AEPTCo subsidiaries in PJM</v>
      </c>
      <c r="C1" s="1279" t="str">
        <f>TCOS!$F$3</f>
        <v>AEPTCo subsidiaries in PJM</v>
      </c>
      <c r="D1" s="1279" t="str">
        <f>TCOS!$F$3</f>
        <v>AEPTCo subsidiaries in PJM</v>
      </c>
      <c r="E1" s="1279" t="str">
        <f>TCOS!$F$3</f>
        <v>AEPTCo subsidiaries in PJM</v>
      </c>
      <c r="F1" s="1279" t="str">
        <f>TCOS!$F$3</f>
        <v>AEPTCo subsidiaries in PJM</v>
      </c>
      <c r="G1" s="1279" t="str">
        <f>TCOS!$F$3</f>
        <v>AEPTCo subsidiaries in PJM</v>
      </c>
      <c r="H1" s="1279" t="str">
        <f>TCOS!$F$3</f>
        <v>AEPTCo subsidiaries in PJM</v>
      </c>
      <c r="I1" s="1279" t="str">
        <f>TCOS!$F$3</f>
        <v>AEPTCo subsidiaries in PJM</v>
      </c>
      <c r="J1" s="1279" t="str">
        <f>TCOS!$F$3</f>
        <v>AEPTCo subsidiaries in PJM</v>
      </c>
      <c r="K1" s="171"/>
      <c r="L1" s="171"/>
      <c r="M1" s="171"/>
    </row>
    <row r="2" spans="1:13" ht="18">
      <c r="A2" s="1278" t="str">
        <f>"Cost of Service Formula Rate Using Actual/Projected FF1 Balances"</f>
        <v>Cost of Service Formula Rate Using Actual/Projected FF1 Balances</v>
      </c>
      <c r="B2" s="1278"/>
      <c r="C2" s="1278"/>
      <c r="D2" s="1278"/>
      <c r="E2" s="1278"/>
      <c r="F2" s="1278"/>
      <c r="G2" s="1278"/>
      <c r="H2" s="1278"/>
      <c r="I2" s="1278"/>
      <c r="J2" s="1278"/>
      <c r="K2" s="127"/>
      <c r="L2" s="127"/>
      <c r="M2" s="127"/>
    </row>
    <row r="3" spans="1:13" ht="18">
      <c r="A3" s="1278" t="s">
        <v>884</v>
      </c>
      <c r="B3" s="1278"/>
      <c r="C3" s="1278"/>
      <c r="D3" s="1278"/>
      <c r="E3" s="1278"/>
      <c r="F3" s="1278"/>
      <c r="G3" s="1278"/>
      <c r="H3" s="1278"/>
      <c r="I3" s="1278"/>
      <c r="J3" s="1278"/>
      <c r="K3" s="172"/>
      <c r="L3" s="172"/>
      <c r="M3" s="172"/>
    </row>
    <row r="4" spans="1:13" ht="18">
      <c r="A4" s="1271" t="str">
        <f>+TCOS!F7</f>
        <v>AEP APPALACHIAN TRANSMISSION COMPANY</v>
      </c>
      <c r="B4" s="1271"/>
      <c r="C4" s="1271"/>
      <c r="D4" s="1271"/>
      <c r="E4" s="1271"/>
      <c r="F4" s="1271"/>
      <c r="G4" s="1271"/>
      <c r="H4" s="1271"/>
      <c r="I4" s="1271"/>
      <c r="J4" s="1271"/>
      <c r="K4" s="178"/>
      <c r="L4" s="178"/>
      <c r="M4" s="178"/>
    </row>
    <row r="5" ht="12.75">
      <c r="H5" s="179"/>
    </row>
    <row r="6" ht="15.75">
      <c r="D6" s="312" t="s">
        <v>847</v>
      </c>
    </row>
    <row r="7" ht="12.75">
      <c r="H7" s="135"/>
    </row>
    <row r="11" ht="12.75">
      <c r="H11" s="180"/>
    </row>
    <row r="12" ht="12.75">
      <c r="H12" s="219"/>
    </row>
    <row r="13" ht="12.75">
      <c r="H13" s="219"/>
    </row>
    <row r="22" spans="2:7" ht="12.75">
      <c r="B22" s="182"/>
      <c r="G22" s="183"/>
    </row>
    <row r="23" ht="12.75">
      <c r="G23" s="183"/>
    </row>
    <row r="24" spans="2:7" ht="12.75">
      <c r="B24" s="220"/>
      <c r="G24" s="221"/>
    </row>
    <row r="25" ht="12.75">
      <c r="G25" s="183"/>
    </row>
    <row r="26" ht="12.75">
      <c r="G26" s="184"/>
    </row>
  </sheetData>
  <sheetProtection password="CA99" sheet="1" objects="1" scenarios="1"/>
  <mergeCells count="4">
    <mergeCell ref="A2:J2"/>
    <mergeCell ref="A1:J1"/>
    <mergeCell ref="A4:J4"/>
    <mergeCell ref="A3:J3"/>
  </mergeCells>
  <printOptions/>
  <pageMargins left="0.26" right="1.28" top="1" bottom="1" header="0.75" footer="0.5"/>
  <pageSetup fitToHeight="1" fitToWidth="1" horizontalDpi="600" verticalDpi="600" orientation="portrait" scale="70"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sheetPr>
    <tabColor rgb="FFCCFFFF"/>
  </sheetPr>
  <dimension ref="A1:Q171"/>
  <sheetViews>
    <sheetView tabSelected="1" view="pageBreakPreview" zoomScale="70" zoomScaleSheetLayoutView="70" zoomScalePageLayoutView="0" workbookViewId="0" topLeftCell="A1">
      <selection activeCell="A1" sqref="A1:O1"/>
    </sheetView>
  </sheetViews>
  <sheetFormatPr defaultColWidth="8.8515625" defaultRowHeight="12.75"/>
  <cols>
    <col min="1" max="1" width="4.7109375" style="352" customWidth="1"/>
    <col min="2" max="2" width="6.7109375" style="548" customWidth="1"/>
    <col min="3" max="3" width="26.421875" style="352" customWidth="1"/>
    <col min="4" max="4" width="17.7109375" style="426" customWidth="1"/>
    <col min="5" max="7" width="17.7109375" style="352" customWidth="1"/>
    <col min="8" max="8" width="17.7109375" style="786" customWidth="1"/>
    <col min="9" max="9" width="17.7109375" style="352" bestFit="1" customWidth="1"/>
    <col min="10" max="10" width="2.140625" style="343" customWidth="1"/>
    <col min="11" max="14" width="17.7109375" style="352" customWidth="1"/>
    <col min="15" max="15" width="16.7109375" style="352" customWidth="1"/>
    <col min="16" max="16" width="2.140625" style="352" customWidth="1"/>
    <col min="17" max="16384" width="8.8515625" style="352" customWidth="1"/>
  </cols>
  <sheetData>
    <row r="1" spans="1:16" ht="15">
      <c r="A1" s="1247" t="str">
        <f>TCOS!$F$3</f>
        <v>AEPTCo subsidiaries in PJM</v>
      </c>
      <c r="B1" s="1247" t="str">
        <f>TCOS!$F$3</f>
        <v>AEPTCo subsidiaries in PJM</v>
      </c>
      <c r="C1" s="1247" t="str">
        <f>TCOS!$F$3</f>
        <v>AEPTCo subsidiaries in PJM</v>
      </c>
      <c r="D1" s="1247" t="str">
        <f>TCOS!$F$3</f>
        <v>AEPTCo subsidiaries in PJM</v>
      </c>
      <c r="E1" s="1247" t="str">
        <f>TCOS!$F$3</f>
        <v>AEPTCo subsidiaries in PJM</v>
      </c>
      <c r="F1" s="1247" t="str">
        <f>TCOS!$F$3</f>
        <v>AEPTCo subsidiaries in PJM</v>
      </c>
      <c r="G1" s="1247" t="str">
        <f>TCOS!$F$3</f>
        <v>AEPTCo subsidiaries in PJM</v>
      </c>
      <c r="H1" s="1247" t="str">
        <f>TCOS!$F$3</f>
        <v>AEPTCo subsidiaries in PJM</v>
      </c>
      <c r="I1" s="1247" t="str">
        <f>TCOS!$F$3</f>
        <v>AEPTCo subsidiaries in PJM</v>
      </c>
      <c r="J1" s="1247" t="str">
        <f>TCOS!$F$3</f>
        <v>AEPTCo subsidiaries in PJM</v>
      </c>
      <c r="K1" s="1247" t="str">
        <f>TCOS!$F$3</f>
        <v>AEPTCo subsidiaries in PJM</v>
      </c>
      <c r="L1" s="1247" t="str">
        <f>TCOS!$F$3</f>
        <v>AEPTCo subsidiaries in PJM</v>
      </c>
      <c r="M1" s="1247" t="str">
        <f>TCOS!$F$3</f>
        <v>AEPTCo subsidiaries in PJM</v>
      </c>
      <c r="N1" s="1247" t="str">
        <f>TCOS!$F$3</f>
        <v>AEPTCo subsidiaries in PJM</v>
      </c>
      <c r="O1" s="1247" t="str">
        <f>TCOS!$F$3</f>
        <v>AEPTCo subsidiaries in PJM</v>
      </c>
      <c r="P1" s="343"/>
    </row>
    <row r="2" spans="1:16" ht="15">
      <c r="A2" s="1246" t="str">
        <f>"Cost of Service Formula Rate Using Actual/Projected FF1 Balances"</f>
        <v>Cost of Service Formula Rate Using Actual/Projected FF1 Balances</v>
      </c>
      <c r="B2" s="1246"/>
      <c r="C2" s="1246"/>
      <c r="D2" s="1246"/>
      <c r="E2" s="1246"/>
      <c r="F2" s="1246"/>
      <c r="G2" s="1246"/>
      <c r="H2" s="1246"/>
      <c r="I2" s="1246"/>
      <c r="J2" s="1246"/>
      <c r="K2" s="1246"/>
      <c r="L2" s="1246"/>
      <c r="M2" s="1246"/>
      <c r="N2" s="1246"/>
      <c r="O2" s="1246"/>
      <c r="P2" s="343"/>
    </row>
    <row r="3" spans="1:16" ht="15.75">
      <c r="A3" s="1282" t="s">
        <v>358</v>
      </c>
      <c r="B3" s="1282"/>
      <c r="C3" s="1282"/>
      <c r="D3" s="1282"/>
      <c r="E3" s="1282"/>
      <c r="F3" s="1282"/>
      <c r="G3" s="1282"/>
      <c r="H3" s="1282"/>
      <c r="I3" s="1282"/>
      <c r="J3" s="1282"/>
      <c r="K3" s="1282"/>
      <c r="L3" s="1282"/>
      <c r="M3" s="1282"/>
      <c r="N3" s="1282"/>
      <c r="O3" s="1282"/>
      <c r="P3" s="343"/>
    </row>
    <row r="4" spans="1:16" ht="15">
      <c r="A4" s="1265" t="str">
        <f>+'WS A  - RB Support '!A4:F4</f>
        <v>AEP APPALACHIAN TRANSMISSION COMPANY</v>
      </c>
      <c r="B4" s="1265"/>
      <c r="C4" s="1265"/>
      <c r="D4" s="1265"/>
      <c r="E4" s="1265"/>
      <c r="F4" s="1265"/>
      <c r="G4" s="1265"/>
      <c r="H4" s="1265"/>
      <c r="I4" s="1265"/>
      <c r="J4" s="1265"/>
      <c r="K4" s="1265"/>
      <c r="L4" s="1265"/>
      <c r="M4" s="1265"/>
      <c r="N4" s="1265"/>
      <c r="O4" s="1265"/>
      <c r="P4" s="343"/>
    </row>
    <row r="5" ht="12.75">
      <c r="P5" s="343"/>
    </row>
    <row r="6" spans="1:16" ht="20.25">
      <c r="A6" s="787"/>
      <c r="C6" s="548"/>
      <c r="N6" s="788" t="str">
        <f>"Page "&amp;P6&amp;" of "</f>
        <v>Page 1 of </v>
      </c>
      <c r="O6" s="789">
        <f>COUNT(P$6:P$58976)</f>
        <v>2</v>
      </c>
      <c r="P6" s="790">
        <v>1</v>
      </c>
    </row>
    <row r="7" spans="3:16" ht="18">
      <c r="C7" s="791"/>
      <c r="P7" s="343"/>
    </row>
    <row r="8" ht="12.75">
      <c r="P8" s="343"/>
    </row>
    <row r="9" spans="2:16" ht="18">
      <c r="B9" s="792" t="s">
        <v>692</v>
      </c>
      <c r="C9" s="1280" t="str">
        <f>"Calculate Return and Income Taxes with "&amp;F15&amp;" basis point ROE increase for Projects Qualified for Regional Billing."</f>
        <v>Calculate Return and Income Taxes with 0 basis point ROE increase for Projects Qualified for Regional Billing.</v>
      </c>
      <c r="D9" s="1281"/>
      <c r="E9" s="1281"/>
      <c r="F9" s="1281"/>
      <c r="G9" s="1281"/>
      <c r="H9" s="1281"/>
      <c r="P9" s="343"/>
    </row>
    <row r="10" spans="3:16" ht="18.75" customHeight="1">
      <c r="C10" s="1281"/>
      <c r="D10" s="1281"/>
      <c r="E10" s="1281"/>
      <c r="F10" s="1281"/>
      <c r="G10" s="1281"/>
      <c r="H10" s="1281"/>
      <c r="P10" s="343"/>
    </row>
    <row r="11" spans="3:16" ht="15.75" customHeight="1">
      <c r="C11" s="793"/>
      <c r="D11" s="793"/>
      <c r="E11" s="793"/>
      <c r="F11" s="793"/>
      <c r="G11" s="793"/>
      <c r="H11" s="793"/>
      <c r="P11" s="343"/>
    </row>
    <row r="12" spans="3:16" ht="15.75">
      <c r="C12" s="794" t="str">
        <f>"A.   Determine 'R' with hypothetical "&amp;F15&amp;" basis point increase in ROE for Identified Projects"</f>
        <v>A.   Determine 'R' with hypothetical 0 basis point increase in ROE for Identified Projects</v>
      </c>
      <c r="P12" s="343"/>
    </row>
    <row r="13" ht="12.75">
      <c r="P13" s="343"/>
    </row>
    <row r="14" spans="3:16" ht="12.75">
      <c r="C14" s="795" t="str">
        <f>"   ROE w/o incentives  (TCOS, ln "&amp;TCOS!B260&amp;")"</f>
        <v>   ROE w/o incentives  (TCOS, ln 166)</v>
      </c>
      <c r="E14" s="796"/>
      <c r="F14" s="797">
        <f>TCOS!J260</f>
        <v>0.1149</v>
      </c>
      <c r="G14" s="796"/>
      <c r="H14" s="798"/>
      <c r="I14" s="798"/>
      <c r="J14" s="799"/>
      <c r="K14" s="798"/>
      <c r="L14" s="798"/>
      <c r="M14" s="798"/>
      <c r="N14" s="798"/>
      <c r="O14" s="798"/>
      <c r="P14" s="799"/>
    </row>
    <row r="15" spans="3:10" ht="12.75">
      <c r="C15" s="795" t="s">
        <v>94</v>
      </c>
      <c r="E15" s="796"/>
      <c r="F15" s="945">
        <v>0</v>
      </c>
      <c r="G15" s="800"/>
      <c r="H15" s="798"/>
      <c r="I15" s="798"/>
      <c r="J15" s="799"/>
    </row>
    <row r="16" spans="3:10" ht="12.75">
      <c r="C16" s="795" t="str">
        <f>"   ROE with additional "&amp;F15&amp;" basis point incentive"</f>
        <v>   ROE with additional 0 basis point incentive</v>
      </c>
      <c r="D16" s="796"/>
      <c r="E16" s="796"/>
      <c r="F16" s="801">
        <f>IF((F14+(F15/10000)&gt;0.1274),"ERROR",F14+(F15/10000))</f>
        <v>0.1149</v>
      </c>
      <c r="G16" s="802"/>
      <c r="H16" s="798"/>
      <c r="I16" s="798"/>
      <c r="J16" s="799"/>
    </row>
    <row r="17" spans="3:10" ht="12.75">
      <c r="C17" s="795" t="str">
        <f>"   Determine R  ( cost of long term debt, cost of preferred stock and equity percentage is from the TCOS, lns "&amp;TCOS!B258&amp;" through "&amp;TCOS!B260&amp;")"</f>
        <v>   Determine R  ( cost of long term debt, cost of preferred stock and equity percentage is from the TCOS, lns 164 through 166)</v>
      </c>
      <c r="E17" s="796"/>
      <c r="F17" s="803"/>
      <c r="G17" s="796"/>
      <c r="H17" s="798"/>
      <c r="I17" s="798"/>
      <c r="J17" s="799"/>
    </row>
    <row r="18" spans="3:10" ht="12.75">
      <c r="C18" s="799"/>
      <c r="D18" s="804" t="s">
        <v>667</v>
      </c>
      <c r="E18" s="804" t="s">
        <v>666</v>
      </c>
      <c r="F18" s="805" t="s">
        <v>95</v>
      </c>
      <c r="G18" s="796"/>
      <c r="H18" s="798"/>
      <c r="I18" s="798"/>
      <c r="J18" s="799"/>
    </row>
    <row r="19" spans="3:15" ht="13.5" thickBot="1">
      <c r="C19" s="806" t="s">
        <v>99</v>
      </c>
      <c r="D19" s="807">
        <f>TCOS!H258</f>
        <v>0.5187626222413029</v>
      </c>
      <c r="E19" s="808">
        <f>TCOS!J258</f>
        <v>0.0125</v>
      </c>
      <c r="F19" s="809">
        <f>E19*D19</f>
        <v>0.006484532778016286</v>
      </c>
      <c r="G19" s="796"/>
      <c r="H19" s="798"/>
      <c r="I19" s="810"/>
      <c r="J19" s="811"/>
      <c r="K19" s="620"/>
      <c r="L19" s="620"/>
      <c r="M19" s="620"/>
      <c r="N19" s="620"/>
      <c r="O19" s="620"/>
    </row>
    <row r="20" spans="3:16" ht="12.75">
      <c r="C20" s="806" t="s">
        <v>100</v>
      </c>
      <c r="D20" s="807">
        <f>TCOS!H259</f>
        <v>0</v>
      </c>
      <c r="E20" s="808">
        <f>TCOS!J259</f>
        <v>0</v>
      </c>
      <c r="F20" s="809">
        <f>E20*D20</f>
        <v>0</v>
      </c>
      <c r="G20" s="812"/>
      <c r="H20" s="812"/>
      <c r="I20" s="813"/>
      <c r="J20" s="814"/>
      <c r="K20" s="1286" t="s">
        <v>333</v>
      </c>
      <c r="L20" s="1287"/>
      <c r="M20" s="1287"/>
      <c r="N20" s="1287"/>
      <c r="O20" s="1288"/>
      <c r="P20" s="814"/>
    </row>
    <row r="21" spans="3:16" ht="12.75">
      <c r="C21" s="815" t="s">
        <v>85</v>
      </c>
      <c r="D21" s="807">
        <f>TCOS!H260</f>
        <v>0.48123737775869707</v>
      </c>
      <c r="E21" s="808">
        <f>+F16</f>
        <v>0.1149</v>
      </c>
      <c r="F21" s="816">
        <f>E21*D21</f>
        <v>0.05529417470447429</v>
      </c>
      <c r="G21" s="812"/>
      <c r="H21" s="812"/>
      <c r="I21" s="813"/>
      <c r="J21" s="814"/>
      <c r="K21" s="1289"/>
      <c r="L21" s="1290"/>
      <c r="M21" s="1290"/>
      <c r="N21" s="1290"/>
      <c r="O21" s="1291"/>
      <c r="P21" s="814"/>
    </row>
    <row r="22" spans="3:16" ht="12.75">
      <c r="C22" s="795"/>
      <c r="D22" s="352"/>
      <c r="E22" s="817" t="s">
        <v>101</v>
      </c>
      <c r="F22" s="809">
        <f>SUM(F19:F21)</f>
        <v>0.06177870748249058</v>
      </c>
      <c r="G22" s="812"/>
      <c r="H22" s="812"/>
      <c r="I22" s="813"/>
      <c r="J22" s="814"/>
      <c r="K22" s="818"/>
      <c r="L22" s="819"/>
      <c r="M22" s="820" t="s">
        <v>96</v>
      </c>
      <c r="N22" s="820" t="s">
        <v>97</v>
      </c>
      <c r="O22" s="821" t="s">
        <v>98</v>
      </c>
      <c r="P22" s="814"/>
    </row>
    <row r="23" spans="3:16" ht="12.75">
      <c r="C23" s="468"/>
      <c r="D23" s="822"/>
      <c r="E23" s="822"/>
      <c r="F23" s="812"/>
      <c r="G23" s="812"/>
      <c r="H23" s="812"/>
      <c r="I23" s="812"/>
      <c r="J23" s="823"/>
      <c r="K23" s="824"/>
      <c r="L23" s="825"/>
      <c r="M23" s="825"/>
      <c r="N23" s="825"/>
      <c r="O23" s="826"/>
      <c r="P23" s="823"/>
    </row>
    <row r="24" spans="3:16" ht="16.5" thickBot="1">
      <c r="C24" s="794" t="str">
        <f>"B.   Determine Return using 'R' with hypothetical "&amp;F15&amp;" basis point ROE increase for Identified Projects."</f>
        <v>B.   Determine Return using 'R' with hypothetical 0 basis point ROE increase for Identified Projects.</v>
      </c>
      <c r="D24" s="822"/>
      <c r="E24" s="822"/>
      <c r="F24" s="827"/>
      <c r="G24" s="812"/>
      <c r="H24" s="796"/>
      <c r="I24" s="812"/>
      <c r="J24" s="823"/>
      <c r="K24" s="828" t="s">
        <v>102</v>
      </c>
      <c r="L24" s="829">
        <f>+TCOS!L2</f>
        <v>2017</v>
      </c>
      <c r="M24" s="1172">
        <f>N89</f>
        <v>0</v>
      </c>
      <c r="N24" s="1172">
        <f>N90</f>
        <v>0</v>
      </c>
      <c r="O24" s="830">
        <f>+N24-M24</f>
        <v>0</v>
      </c>
      <c r="P24" s="823"/>
    </row>
    <row r="25" spans="3:16" ht="12.75">
      <c r="C25" s="799"/>
      <c r="D25" s="822"/>
      <c r="E25" s="822"/>
      <c r="F25" s="823"/>
      <c r="G25" s="823"/>
      <c r="H25" s="823"/>
      <c r="I25" s="823"/>
      <c r="J25" s="823"/>
      <c r="K25" s="831"/>
      <c r="L25" s="831"/>
      <c r="M25" s="832"/>
      <c r="N25" s="831"/>
      <c r="O25" s="831"/>
      <c r="P25" s="823"/>
    </row>
    <row r="26" spans="3:16" ht="12.75">
      <c r="C26" s="795" t="str">
        <f>"   Rate Base  (TCOS, ln "&amp;TCOS!B130&amp;")"</f>
        <v>   Rate Base  (TCOS, ln 79)</v>
      </c>
      <c r="D26" s="796"/>
      <c r="F26" s="833">
        <f>TCOS!L130</f>
        <v>73223.9264298778</v>
      </c>
      <c r="G26" s="823"/>
      <c r="H26" s="823"/>
      <c r="I26" s="823"/>
      <c r="J26" s="823"/>
      <c r="K26" s="831"/>
      <c r="L26" s="831"/>
      <c r="M26" s="831"/>
      <c r="N26" s="831"/>
      <c r="O26" s="834"/>
      <c r="P26" s="823"/>
    </row>
    <row r="27" spans="3:16" ht="12.75">
      <c r="C27" s="799" t="s">
        <v>416</v>
      </c>
      <c r="D27" s="835"/>
      <c r="F27" s="809">
        <f>F22</f>
        <v>0.06177870748249058</v>
      </c>
      <c r="G27" s="823"/>
      <c r="H27" s="823"/>
      <c r="I27" s="823"/>
      <c r="J27" s="823"/>
      <c r="K27" s="823"/>
      <c r="L27" s="823"/>
      <c r="M27" s="823"/>
      <c r="N27" s="823"/>
      <c r="O27" s="823"/>
      <c r="P27" s="823"/>
    </row>
    <row r="28" spans="3:16" ht="12.75">
      <c r="C28" s="836" t="s">
        <v>104</v>
      </c>
      <c r="D28" s="836"/>
      <c r="F28" s="813">
        <f>F26*F27</f>
        <v>4523.679531630831</v>
      </c>
      <c r="G28" s="823"/>
      <c r="H28" s="823"/>
      <c r="I28" s="814"/>
      <c r="J28" s="814"/>
      <c r="K28" s="814"/>
      <c r="L28" s="814"/>
      <c r="M28" s="814"/>
      <c r="N28" s="814"/>
      <c r="O28" s="823"/>
      <c r="P28" s="814"/>
    </row>
    <row r="29" spans="3:16" ht="12.75">
      <c r="C29" s="837"/>
      <c r="D29" s="798"/>
      <c r="E29" s="798"/>
      <c r="F29" s="823"/>
      <c r="G29" s="823"/>
      <c r="H29" s="823"/>
      <c r="I29" s="814"/>
      <c r="J29" s="814"/>
      <c r="K29" s="814"/>
      <c r="L29" s="814"/>
      <c r="M29" s="814"/>
      <c r="N29" s="814"/>
      <c r="O29" s="823"/>
      <c r="P29" s="814"/>
    </row>
    <row r="30" spans="3:16" ht="15.75">
      <c r="C30" s="794" t="str">
        <f>"C.   Determine Income Taxes using Return with hypothetical "&amp;F15&amp;" basis point ROE increase for Identified Projects."</f>
        <v>C.   Determine Income Taxes using Return with hypothetical 0 basis point ROE increase for Identified Projects.</v>
      </c>
      <c r="D30" s="838"/>
      <c r="E30" s="838"/>
      <c r="F30" s="839"/>
      <c r="G30" s="839"/>
      <c r="H30" s="839"/>
      <c r="I30" s="840"/>
      <c r="J30" s="840"/>
      <c r="K30" s="840"/>
      <c r="L30" s="840"/>
      <c r="M30" s="840"/>
      <c r="N30" s="840"/>
      <c r="O30" s="839"/>
      <c r="P30" s="840"/>
    </row>
    <row r="31" spans="3:16" ht="12.75">
      <c r="C31" s="795"/>
      <c r="D31" s="798"/>
      <c r="E31" s="798"/>
      <c r="F31" s="823"/>
      <c r="G31" s="823"/>
      <c r="H31" s="823"/>
      <c r="I31" s="814"/>
      <c r="J31" s="814"/>
      <c r="K31" s="814"/>
      <c r="L31" s="814"/>
      <c r="M31" s="814"/>
      <c r="N31" s="814"/>
      <c r="O31" s="823"/>
      <c r="P31" s="814"/>
    </row>
    <row r="32" spans="3:16" ht="12.75">
      <c r="C32" s="799" t="s">
        <v>105</v>
      </c>
      <c r="D32" s="817"/>
      <c r="F32" s="841">
        <f>F28</f>
        <v>4523.679531630831</v>
      </c>
      <c r="G32" s="823"/>
      <c r="H32" s="823"/>
      <c r="I32" s="823"/>
      <c r="J32" s="823"/>
      <c r="K32" s="823"/>
      <c r="L32" s="823"/>
      <c r="M32" s="823"/>
      <c r="N32" s="823"/>
      <c r="O32" s="823"/>
      <c r="P32" s="823"/>
    </row>
    <row r="33" spans="3:16" ht="12.75">
      <c r="C33" s="795" t="str">
        <f>"   Effective Tax Rate  (TCOS, ln "&amp;TCOS!B195&amp;")"</f>
        <v>   Effective Tax Rate  (TCOS, ln 125)</v>
      </c>
      <c r="D33" s="672"/>
      <c r="F33" s="842">
        <f>TCOS!G195</f>
        <v>0.5698347807895298</v>
      </c>
      <c r="G33" s="468"/>
      <c r="H33" s="843"/>
      <c r="I33" s="468"/>
      <c r="J33" s="584"/>
      <c r="K33" s="468"/>
      <c r="L33" s="468"/>
      <c r="M33" s="468"/>
      <c r="N33" s="468"/>
      <c r="O33" s="468"/>
      <c r="P33" s="584"/>
    </row>
    <row r="34" spans="3:16" ht="12.75">
      <c r="C34" s="837" t="s">
        <v>106</v>
      </c>
      <c r="D34" s="672"/>
      <c r="F34" s="844">
        <f>F32*F33</f>
        <v>2577.749934268937</v>
      </c>
      <c r="G34" s="468"/>
      <c r="H34" s="843"/>
      <c r="I34" s="468"/>
      <c r="J34" s="584"/>
      <c r="K34" s="468"/>
      <c r="L34" s="468"/>
      <c r="M34" s="468"/>
      <c r="N34" s="468"/>
      <c r="O34" s="468"/>
      <c r="P34" s="584"/>
    </row>
    <row r="35" spans="3:16" ht="15">
      <c r="C35" s="795" t="s">
        <v>149</v>
      </c>
      <c r="D35" s="481"/>
      <c r="F35" s="845">
        <f>TCOS!L203</f>
        <v>0</v>
      </c>
      <c r="G35" s="481"/>
      <c r="H35" s="481"/>
      <c r="I35" s="481"/>
      <c r="J35" s="481"/>
      <c r="K35" s="481"/>
      <c r="L35" s="481"/>
      <c r="M35" s="481"/>
      <c r="N35" s="481"/>
      <c r="O35" s="388"/>
      <c r="P35" s="481"/>
    </row>
    <row r="36" spans="3:16" ht="15">
      <c r="C36" s="795" t="s">
        <v>841</v>
      </c>
      <c r="D36" s="481"/>
      <c r="F36" s="845">
        <f>TCOS!L204</f>
        <v>0</v>
      </c>
      <c r="G36" s="481"/>
      <c r="H36" s="481"/>
      <c r="I36" s="481"/>
      <c r="J36" s="481"/>
      <c r="K36" s="481"/>
      <c r="L36" s="481"/>
      <c r="M36" s="481"/>
      <c r="N36" s="481"/>
      <c r="O36" s="388"/>
      <c r="P36" s="481"/>
    </row>
    <row r="37" spans="3:16" ht="15">
      <c r="C37" s="795" t="s">
        <v>845</v>
      </c>
      <c r="D37" s="481"/>
      <c r="F37" s="845">
        <f>TCOS!L205</f>
        <v>0</v>
      </c>
      <c r="G37" s="481"/>
      <c r="H37" s="481"/>
      <c r="I37" s="481"/>
      <c r="J37" s="481"/>
      <c r="K37" s="481"/>
      <c r="L37" s="481"/>
      <c r="M37" s="481"/>
      <c r="N37" s="481"/>
      <c r="O37" s="388"/>
      <c r="P37" s="481"/>
    </row>
    <row r="38" spans="3:16" ht="15">
      <c r="C38" s="837" t="s">
        <v>107</v>
      </c>
      <c r="D38" s="481"/>
      <c r="F38" s="845">
        <f>F34+F35+F36+F37</f>
        <v>2577.749934268937</v>
      </c>
      <c r="G38" s="481"/>
      <c r="H38" s="481"/>
      <c r="I38" s="481"/>
      <c r="J38" s="481"/>
      <c r="K38" s="481"/>
      <c r="L38" s="481"/>
      <c r="M38" s="481"/>
      <c r="N38" s="481"/>
      <c r="O38" s="362"/>
      <c r="P38" s="481"/>
    </row>
    <row r="39" spans="3:16" ht="12.75" customHeight="1">
      <c r="C39" s="396"/>
      <c r="D39" s="481"/>
      <c r="E39" s="481"/>
      <c r="F39" s="481"/>
      <c r="G39" s="481"/>
      <c r="H39" s="481"/>
      <c r="I39" s="481"/>
      <c r="J39" s="481"/>
      <c r="K39" s="481"/>
      <c r="L39" s="481"/>
      <c r="M39" s="481"/>
      <c r="N39" s="481"/>
      <c r="O39" s="362"/>
      <c r="P39" s="481"/>
    </row>
    <row r="40" spans="2:16" ht="18.75">
      <c r="B40" s="792" t="s">
        <v>693</v>
      </c>
      <c r="C40" s="791" t="str">
        <f>"Calculate Net Plant Carrying Charge Rate (Fixed Charge Rate or FCR) with hypothetical "&amp;F15&amp;""</f>
        <v>Calculate Net Plant Carrying Charge Rate (Fixed Charge Rate or FCR) with hypothetical 0</v>
      </c>
      <c r="D40" s="481"/>
      <c r="E40" s="481"/>
      <c r="F40" s="481"/>
      <c r="G40" s="481"/>
      <c r="H40" s="481"/>
      <c r="I40" s="481"/>
      <c r="J40" s="481"/>
      <c r="K40" s="481"/>
      <c r="L40" s="481"/>
      <c r="M40" s="481"/>
      <c r="N40" s="481"/>
      <c r="O40" s="362"/>
      <c r="P40" s="481"/>
    </row>
    <row r="41" spans="3:16" ht="18.75" customHeight="1">
      <c r="C41" s="791" t="str">
        <f>"basis point ROE increase."</f>
        <v>basis point ROE increase.</v>
      </c>
      <c r="D41" s="481"/>
      <c r="E41" s="481"/>
      <c r="F41" s="481"/>
      <c r="G41" s="481"/>
      <c r="H41" s="481"/>
      <c r="I41" s="481"/>
      <c r="J41" s="481"/>
      <c r="K41" s="481"/>
      <c r="L41" s="481"/>
      <c r="M41" s="481"/>
      <c r="N41" s="481"/>
      <c r="O41" s="362"/>
      <c r="P41" s="481"/>
    </row>
    <row r="42" spans="3:16" ht="12.75" customHeight="1">
      <c r="C42" s="791"/>
      <c r="D42" s="481"/>
      <c r="E42" s="481"/>
      <c r="F42" s="481"/>
      <c r="G42" s="481"/>
      <c r="H42" s="481"/>
      <c r="I42" s="481"/>
      <c r="J42" s="481"/>
      <c r="K42" s="481"/>
      <c r="L42" s="481"/>
      <c r="M42" s="481"/>
      <c r="N42" s="481"/>
      <c r="O42" s="362"/>
      <c r="P42" s="481"/>
    </row>
    <row r="43" spans="3:16" ht="15.75">
      <c r="C43" s="794" t="s">
        <v>355</v>
      </c>
      <c r="D43" s="481"/>
      <c r="E43" s="481"/>
      <c r="F43" s="480"/>
      <c r="G43" s="481"/>
      <c r="H43" s="481"/>
      <c r="I43" s="481"/>
      <c r="J43" s="481"/>
      <c r="K43" s="481"/>
      <c r="L43" s="481"/>
      <c r="M43" s="481"/>
      <c r="N43" s="481"/>
      <c r="O43" s="362"/>
      <c r="P43" s="481"/>
    </row>
    <row r="44" spans="2:16" ht="12.75">
      <c r="B44" s="502"/>
      <c r="C44" s="846"/>
      <c r="D44" s="847"/>
      <c r="E44" s="847"/>
      <c r="F44" s="847"/>
      <c r="G44" s="847"/>
      <c r="H44" s="847"/>
      <c r="I44" s="847"/>
      <c r="J44" s="847"/>
      <c r="K44" s="847"/>
      <c r="L44" s="847"/>
      <c r="M44" s="847"/>
      <c r="N44" s="847"/>
      <c r="O44" s="845"/>
      <c r="P44" s="847"/>
    </row>
    <row r="45" spans="2:16" ht="12.75" customHeight="1">
      <c r="B45" s="502"/>
      <c r="C45" s="795" t="str">
        <f>"   Annual Revenue Requirement  (TCOS, ln "&amp;TCOS!B11&amp;")"</f>
        <v>   Annual Revenue Requirement  (TCOS, ln 1)</v>
      </c>
      <c r="D45" s="847"/>
      <c r="E45" s="847"/>
      <c r="G45" s="845">
        <f>TCOS!L11</f>
        <v>98422.5131624638</v>
      </c>
      <c r="H45" s="845"/>
      <c r="I45" s="847"/>
      <c r="J45" s="847"/>
      <c r="K45" s="847"/>
      <c r="L45" s="847"/>
      <c r="M45" s="847"/>
      <c r="N45" s="847"/>
      <c r="O45" s="845"/>
      <c r="P45" s="847"/>
    </row>
    <row r="46" spans="2:16" ht="12.75" customHeight="1">
      <c r="B46" s="502"/>
      <c r="C46" s="848" t="str">
        <f>"  Lease Payments (TCOS, Ln "&amp;TCOS!B171&amp;")"</f>
        <v>  Lease Payments (TCOS, Ln 104)</v>
      </c>
      <c r="D46" s="847"/>
      <c r="E46" s="847"/>
      <c r="G46" s="845">
        <f>+TCOS!L170+TCOS!L171</f>
        <v>0</v>
      </c>
      <c r="H46" s="845"/>
      <c r="I46" s="847"/>
      <c r="J46" s="847"/>
      <c r="K46" s="847"/>
      <c r="L46" s="847"/>
      <c r="M46" s="847"/>
      <c r="N46" s="847"/>
      <c r="O46" s="845"/>
      <c r="P46" s="847"/>
    </row>
    <row r="47" spans="2:16" ht="12.75">
      <c r="B47" s="502"/>
      <c r="C47" s="795" t="str">
        <f>"   Return  (TCOS, ln "&amp;TCOS!B208&amp;")"</f>
        <v>   Return  (TCOS, ln 137)</v>
      </c>
      <c r="D47" s="847"/>
      <c r="E47" s="847"/>
      <c r="G47" s="849">
        <f>TCOS!L208</f>
        <v>4523.679531630831</v>
      </c>
      <c r="H47" s="849"/>
      <c r="I47" s="847"/>
      <c r="J47" s="850"/>
      <c r="K47" s="850"/>
      <c r="L47" s="850"/>
      <c r="M47" s="850"/>
      <c r="N47" s="850"/>
      <c r="O47" s="845"/>
      <c r="P47" s="850"/>
    </row>
    <row r="48" spans="2:16" ht="12.75">
      <c r="B48" s="502"/>
      <c r="C48" s="795" t="str">
        <f>"   Income Taxes  (TCOS, ln "&amp;TCOS!B206&amp;")"</f>
        <v>   Income Taxes  (TCOS, ln 136)</v>
      </c>
      <c r="D48" s="847"/>
      <c r="E48" s="847"/>
      <c r="G48" s="851">
        <f>F38</f>
        <v>2577.749934268937</v>
      </c>
      <c r="H48" s="851"/>
      <c r="I48" s="847"/>
      <c r="J48" s="852"/>
      <c r="K48" s="852"/>
      <c r="L48" s="852"/>
      <c r="M48" s="852"/>
      <c r="N48" s="852"/>
      <c r="O48" s="847"/>
      <c r="P48" s="852"/>
    </row>
    <row r="49" spans="2:16" ht="12.75">
      <c r="B49" s="502"/>
      <c r="C49" s="853" t="s">
        <v>928</v>
      </c>
      <c r="D49" s="847"/>
      <c r="E49" s="847"/>
      <c r="G49" s="849">
        <f>G45-G47-G48-G46</f>
        <v>91321.08369656403</v>
      </c>
      <c r="H49" s="849"/>
      <c r="I49" s="847"/>
      <c r="J49" s="854"/>
      <c r="K49" s="854"/>
      <c r="L49" s="854"/>
      <c r="M49" s="854"/>
      <c r="N49" s="854"/>
      <c r="O49" s="854"/>
      <c r="P49" s="854"/>
    </row>
    <row r="50" spans="2:16" ht="12.75">
      <c r="B50" s="502"/>
      <c r="C50" s="846"/>
      <c r="D50" s="847"/>
      <c r="E50" s="847"/>
      <c r="F50" s="845"/>
      <c r="G50" s="855"/>
      <c r="H50" s="856"/>
      <c r="I50" s="847"/>
      <c r="J50" s="856"/>
      <c r="K50" s="856"/>
      <c r="L50" s="856"/>
      <c r="M50" s="856"/>
      <c r="N50" s="856"/>
      <c r="O50" s="856"/>
      <c r="P50" s="856"/>
    </row>
    <row r="51" spans="2:16" ht="15.75">
      <c r="B51" s="502"/>
      <c r="C51" s="794" t="str">
        <f>"B.   Determine Annual Revenue Requirement with hypothetical "&amp;F15&amp;" basis point increase in ROE."</f>
        <v>B.   Determine Annual Revenue Requirement with hypothetical 0 basis point increase in ROE.</v>
      </c>
      <c r="D51" s="857"/>
      <c r="E51" s="857"/>
      <c r="F51" s="845"/>
      <c r="G51" s="855"/>
      <c r="H51" s="856"/>
      <c r="I51" s="856"/>
      <c r="J51" s="856"/>
      <c r="K51" s="856"/>
      <c r="L51" s="856"/>
      <c r="M51" s="856"/>
      <c r="N51" s="856"/>
      <c r="O51" s="856"/>
      <c r="P51" s="856"/>
    </row>
    <row r="52" spans="2:16" ht="12.75">
      <c r="B52" s="502"/>
      <c r="C52" s="846"/>
      <c r="D52" s="857"/>
      <c r="E52" s="857"/>
      <c r="F52" s="845"/>
      <c r="G52" s="855"/>
      <c r="H52" s="856"/>
      <c r="I52" s="856"/>
      <c r="J52" s="856"/>
      <c r="K52" s="856"/>
      <c r="L52" s="856"/>
      <c r="M52" s="856"/>
      <c r="N52" s="856"/>
      <c r="O52" s="856"/>
      <c r="P52" s="856"/>
    </row>
    <row r="53" spans="2:16" ht="12.75">
      <c r="B53" s="502"/>
      <c r="C53" s="848" t="str">
        <f>C49</f>
        <v>   Annual Revenue Requirement, Less Lease Payments, Return and Taxes</v>
      </c>
      <c r="D53" s="857"/>
      <c r="E53" s="857"/>
      <c r="G53" s="845">
        <f>G49</f>
        <v>91321.08369656403</v>
      </c>
      <c r="H53" s="845"/>
      <c r="I53" s="847"/>
      <c r="J53" s="847"/>
      <c r="K53" s="847"/>
      <c r="L53" s="847"/>
      <c r="M53" s="847"/>
      <c r="N53" s="847"/>
      <c r="O53" s="858"/>
      <c r="P53" s="847"/>
    </row>
    <row r="54" spans="2:16" ht="12.75">
      <c r="B54" s="502"/>
      <c r="C54" s="799" t="s">
        <v>146</v>
      </c>
      <c r="D54" s="859"/>
      <c r="E54" s="860"/>
      <c r="G54" s="861">
        <f>F28</f>
        <v>4523.679531630831</v>
      </c>
      <c r="H54" s="861"/>
      <c r="I54" s="847"/>
      <c r="J54" s="860"/>
      <c r="K54" s="860"/>
      <c r="L54" s="860"/>
      <c r="M54" s="860"/>
      <c r="N54" s="860"/>
      <c r="O54" s="860"/>
      <c r="P54" s="860"/>
    </row>
    <row r="55" spans="2:16" ht="12.75" customHeight="1">
      <c r="B55" s="502"/>
      <c r="C55" s="795" t="s">
        <v>113</v>
      </c>
      <c r="D55" s="847"/>
      <c r="E55" s="847"/>
      <c r="G55" s="851">
        <f>F38</f>
        <v>2577.749934268937</v>
      </c>
      <c r="H55" s="851"/>
      <c r="I55" s="847"/>
      <c r="J55" s="584"/>
      <c r="K55" s="468"/>
      <c r="L55" s="468"/>
      <c r="M55" s="468"/>
      <c r="N55" s="468"/>
      <c r="O55" s="468"/>
      <c r="P55" s="584"/>
    </row>
    <row r="56" spans="2:16" ht="12.75">
      <c r="B56" s="502"/>
      <c r="C56" s="860" t="str">
        <f>"   Annual Revenue Requirement, with "&amp;F15&amp;" Basis Point ROE increase"</f>
        <v>   Annual Revenue Requirement, with 0 Basis Point ROE increase</v>
      </c>
      <c r="D56" s="672"/>
      <c r="E56" s="468"/>
      <c r="G56" s="844">
        <f>SUM(G53:G55)</f>
        <v>98422.5131624638</v>
      </c>
      <c r="H56" s="844"/>
      <c r="I56" s="847"/>
      <c r="J56" s="584"/>
      <c r="K56" s="468"/>
      <c r="L56" s="468"/>
      <c r="M56" s="468"/>
      <c r="N56" s="468"/>
      <c r="O56" s="468"/>
      <c r="P56" s="584"/>
    </row>
    <row r="57" spans="2:16" ht="12.75">
      <c r="B57" s="502"/>
      <c r="C57" s="795" t="str">
        <f>"   Depreciation &amp; Amortization (TCOS, ln "&amp;TCOS!B177&amp;")"</f>
        <v>   Depreciation &amp; Amortization (TCOS, ln 109)</v>
      </c>
      <c r="D57" s="672"/>
      <c r="E57" s="468"/>
      <c r="G57" s="862">
        <f>TCOS!L177</f>
        <v>434</v>
      </c>
      <c r="H57" s="862"/>
      <c r="I57" s="847"/>
      <c r="J57" s="584"/>
      <c r="K57" s="468"/>
      <c r="L57" s="468"/>
      <c r="M57" s="468"/>
      <c r="N57" s="468"/>
      <c r="O57" s="468"/>
      <c r="P57" s="584"/>
    </row>
    <row r="58" spans="2:16" ht="12.75">
      <c r="B58" s="502"/>
      <c r="C58" s="860" t="str">
        <f>"   Annual Rev. Req, w/"&amp;F15&amp;" Basis Point ROE increase, less Depreciation"</f>
        <v>   Annual Rev. Req, w/0 Basis Point ROE increase, less Depreciation</v>
      </c>
      <c r="D58" s="672"/>
      <c r="E58" s="468"/>
      <c r="G58" s="844">
        <f>G56-G57</f>
        <v>97988.5131624638</v>
      </c>
      <c r="H58" s="844"/>
      <c r="I58" s="847"/>
      <c r="J58" s="584"/>
      <c r="K58" s="468"/>
      <c r="L58" s="468"/>
      <c r="M58" s="468"/>
      <c r="N58" s="468"/>
      <c r="O58" s="468"/>
      <c r="P58" s="584"/>
    </row>
    <row r="59" spans="2:16" ht="12.75">
      <c r="B59" s="502"/>
      <c r="C59" s="468"/>
      <c r="D59" s="672"/>
      <c r="E59" s="468"/>
      <c r="F59" s="468"/>
      <c r="G59" s="468"/>
      <c r="H59" s="843"/>
      <c r="I59" s="847"/>
      <c r="J59" s="584"/>
      <c r="K59" s="468"/>
      <c r="L59" s="468"/>
      <c r="M59" s="468"/>
      <c r="N59" s="468"/>
      <c r="O59" s="468"/>
      <c r="P59" s="584"/>
    </row>
    <row r="60" spans="2:16" ht="15.75">
      <c r="B60" s="502"/>
      <c r="C60" s="794" t="str">
        <f>"C.   Determine FCR with hypothetical "&amp;F15&amp;" basis point ROE increase."</f>
        <v>C.   Determine FCR with hypothetical 0 basis point ROE increase.</v>
      </c>
      <c r="D60" s="672"/>
      <c r="E60" s="468"/>
      <c r="F60" s="468"/>
      <c r="G60" s="468"/>
      <c r="H60" s="843"/>
      <c r="I60" s="847"/>
      <c r="J60" s="584"/>
      <c r="K60" s="468"/>
      <c r="L60" s="468"/>
      <c r="M60" s="468"/>
      <c r="N60" s="468"/>
      <c r="O60" s="468"/>
      <c r="P60" s="584"/>
    </row>
    <row r="61" spans="2:16" ht="12.75">
      <c r="B61" s="502"/>
      <c r="C61" s="468"/>
      <c r="D61" s="672"/>
      <c r="E61" s="468"/>
      <c r="F61" s="468"/>
      <c r="G61" s="468"/>
      <c r="H61" s="843"/>
      <c r="I61" s="847"/>
      <c r="J61" s="584"/>
      <c r="K61" s="468"/>
      <c r="L61" s="468"/>
      <c r="M61" s="468"/>
      <c r="N61" s="468"/>
      <c r="O61" s="468"/>
      <c r="P61" s="584"/>
    </row>
    <row r="62" spans="2:16" ht="12.75">
      <c r="B62" s="502"/>
      <c r="C62" s="795" t="str">
        <f>"   Net Transmission Plant  (Projected TCOS, ln "&amp;TCOS!B93&amp;")"</f>
        <v>   Net Transmission Plant  (Projected TCOS, ln 49)</v>
      </c>
      <c r="D62" s="672"/>
      <c r="E62" s="468"/>
      <c r="G62" s="844">
        <f>TCOS!L93</f>
        <v>23098.5</v>
      </c>
      <c r="H62" s="844"/>
      <c r="I62" s="847"/>
      <c r="J62" s="584"/>
      <c r="K62" s="468"/>
      <c r="L62" s="468"/>
      <c r="M62" s="468"/>
      <c r="N62" s="468"/>
      <c r="O62" s="468"/>
      <c r="P62" s="584"/>
    </row>
    <row r="63" spans="2:16" ht="12.75">
      <c r="B63" s="502"/>
      <c r="C63" s="860" t="str">
        <f>"   Annual Revenue Requirement, with "&amp;F15&amp;" Basis Point ROE increase"</f>
        <v>   Annual Revenue Requirement, with 0 Basis Point ROE increase</v>
      </c>
      <c r="D63" s="672"/>
      <c r="E63" s="468"/>
      <c r="G63" s="844">
        <f>G56</f>
        <v>98422.5131624638</v>
      </c>
      <c r="H63" s="844"/>
      <c r="I63" s="847"/>
      <c r="J63" s="584"/>
      <c r="K63" s="468"/>
      <c r="L63" s="468"/>
      <c r="M63" s="468"/>
      <c r="N63" s="468"/>
      <c r="O63" s="468"/>
      <c r="P63" s="584"/>
    </row>
    <row r="64" spans="2:16" ht="12.75">
      <c r="B64" s="502"/>
      <c r="C64" s="860" t="str">
        <f>"   FCR with "&amp;F15&amp;" Basis Point increase in ROE"</f>
        <v>   FCR with 0 Basis Point increase in ROE</v>
      </c>
      <c r="D64" s="672"/>
      <c r="E64" s="468"/>
      <c r="G64" s="842">
        <f>IF(G62=0,0,G63/G62)</f>
        <v>4.260991543280464</v>
      </c>
      <c r="H64" s="842"/>
      <c r="I64" s="847"/>
      <c r="J64" s="584"/>
      <c r="K64" s="468"/>
      <c r="L64" s="468"/>
      <c r="M64" s="468"/>
      <c r="N64" s="468"/>
      <c r="O64" s="468"/>
      <c r="P64" s="584"/>
    </row>
    <row r="65" spans="2:16" ht="12.75">
      <c r="B65" s="502"/>
      <c r="C65" s="339"/>
      <c r="D65" s="672"/>
      <c r="E65" s="468"/>
      <c r="G65" s="502"/>
      <c r="H65" s="502"/>
      <c r="I65" s="847"/>
      <c r="J65" s="584"/>
      <c r="K65" s="468"/>
      <c r="L65" s="468"/>
      <c r="M65" s="468"/>
      <c r="N65" s="468"/>
      <c r="O65" s="468"/>
      <c r="P65" s="584"/>
    </row>
    <row r="66" spans="2:16" ht="12.75">
      <c r="B66" s="502"/>
      <c r="C66" s="860" t="str">
        <f>"   Annual Rev. Req, w / "&amp;F15&amp;" Basis Point ROE increase, less Dep."</f>
        <v>   Annual Rev. Req, w / 0 Basis Point ROE increase, less Dep.</v>
      </c>
      <c r="D66" s="672"/>
      <c r="E66" s="468"/>
      <c r="G66" s="844">
        <f>G58</f>
        <v>97988.5131624638</v>
      </c>
      <c r="H66" s="844"/>
      <c r="I66" s="847"/>
      <c r="J66" s="584"/>
      <c r="K66" s="468"/>
      <c r="L66" s="468"/>
      <c r="M66" s="468"/>
      <c r="N66" s="468"/>
      <c r="O66" s="468"/>
      <c r="P66" s="584"/>
    </row>
    <row r="67" spans="2:16" ht="12.75">
      <c r="B67" s="502"/>
      <c r="C67" s="860" t="str">
        <f>"   FCR with "&amp;F15&amp;" Basis Point ROE increase, less Depreciation"</f>
        <v>   FCR with 0 Basis Point ROE increase, less Depreciation</v>
      </c>
      <c r="D67" s="672"/>
      <c r="E67" s="468"/>
      <c r="G67" s="842">
        <f>IF(G62=0,0,G66/G62)</f>
        <v>4.242202444421231</v>
      </c>
      <c r="H67" s="842"/>
      <c r="I67" s="863"/>
      <c r="J67" s="584"/>
      <c r="K67" s="468"/>
      <c r="L67" s="468"/>
      <c r="M67" s="468"/>
      <c r="N67" s="468"/>
      <c r="O67" s="468"/>
      <c r="P67" s="584"/>
    </row>
    <row r="68" spans="2:16" ht="12.75">
      <c r="B68" s="502"/>
      <c r="C68" s="795" t="str">
        <f>"   FCR less Depreciation  (TCOS, ln "&amp;TCOS!B29&amp;")"</f>
        <v>   FCR less Depreciation  (TCOS, ln 10)</v>
      </c>
      <c r="D68" s="672"/>
      <c r="E68" s="468"/>
      <c r="G68" s="864">
        <f>TCOS!L29</f>
        <v>4.242202444421231</v>
      </c>
      <c r="H68" s="864"/>
      <c r="I68" s="863"/>
      <c r="J68" s="584"/>
      <c r="K68" s="468"/>
      <c r="L68" s="468"/>
      <c r="M68" s="468"/>
      <c r="N68" s="468"/>
      <c r="O68" s="468"/>
      <c r="P68" s="584"/>
    </row>
    <row r="69" spans="2:16" ht="12.75">
      <c r="B69" s="502"/>
      <c r="C69" s="860" t="str">
        <f>"   Incremental FCR with "&amp;F15&amp;" Basis Point ROE increase, less Depreciation"</f>
        <v>   Incremental FCR with 0 Basis Point ROE increase, less Depreciation</v>
      </c>
      <c r="D69" s="672"/>
      <c r="E69" s="468"/>
      <c r="G69" s="842">
        <f>G67-G68</f>
        <v>0</v>
      </c>
      <c r="H69" s="842"/>
      <c r="I69" s="847"/>
      <c r="J69" s="584"/>
      <c r="K69" s="468"/>
      <c r="L69" s="468"/>
      <c r="M69" s="468"/>
      <c r="N69" s="468"/>
      <c r="O69" s="468"/>
      <c r="P69" s="584"/>
    </row>
    <row r="70" spans="2:16" ht="12.75">
      <c r="B70" s="502"/>
      <c r="C70" s="860"/>
      <c r="D70" s="672"/>
      <c r="E70" s="468"/>
      <c r="F70" s="842"/>
      <c r="G70" s="468"/>
      <c r="H70" s="843"/>
      <c r="I70" s="468"/>
      <c r="J70" s="584"/>
      <c r="K70" s="468"/>
      <c r="L70" s="468"/>
      <c r="M70" s="468"/>
      <c r="N70" s="468"/>
      <c r="O70" s="468"/>
      <c r="P70" s="584"/>
    </row>
    <row r="71" spans="2:16" ht="18.75">
      <c r="B71" s="792" t="s">
        <v>694</v>
      </c>
      <c r="C71" s="791" t="s">
        <v>114</v>
      </c>
      <c r="D71" s="672"/>
      <c r="E71" s="468"/>
      <c r="F71" s="842"/>
      <c r="G71" s="468"/>
      <c r="H71" s="843"/>
      <c r="I71" s="468"/>
      <c r="J71" s="584"/>
      <c r="K71" s="468"/>
      <c r="L71" s="468"/>
      <c r="M71" s="468"/>
      <c r="N71" s="468"/>
      <c r="O71" s="468"/>
      <c r="P71" s="584"/>
    </row>
    <row r="72" spans="2:16" ht="12.75">
      <c r="B72" s="502"/>
      <c r="C72" s="860"/>
      <c r="D72" s="672"/>
      <c r="E72" s="468"/>
      <c r="F72" s="842"/>
      <c r="G72" s="468"/>
      <c r="H72" s="843"/>
      <c r="I72" s="468"/>
      <c r="J72" s="584"/>
      <c r="K72" s="468"/>
      <c r="L72" s="468"/>
      <c r="M72" s="468"/>
      <c r="N72" s="468"/>
      <c r="O72" s="468"/>
      <c r="P72" s="584"/>
    </row>
    <row r="73" spans="2:7" ht="12.75">
      <c r="B73" s="502"/>
      <c r="C73" s="860" t="str">
        <f>"Transmission Plant @ Beginning of Rate Year ("&amp;TCOS!L2&amp;") (P.206, ln 58,(b)):"</f>
        <v>Transmission Plant @ Beginning of Rate Year (2017) (P.206, ln 58,(b)):</v>
      </c>
      <c r="D73" s="672"/>
      <c r="G73" s="865">
        <f>+'WS A  - RB Support '!F19</f>
        <v>32</v>
      </c>
    </row>
    <row r="74" spans="2:7" ht="12.75">
      <c r="B74" s="502"/>
      <c r="C74" s="860" t="str">
        <f>"Transmission Plant @ End of Rate Year ("&amp;TCOS!L2&amp;") (P.207, ln 58,(g)):"</f>
        <v>Transmission Plant @ End of Rate Year (2017) (P.207, ln 58,(g)):</v>
      </c>
      <c r="D74" s="672"/>
      <c r="G74" s="866">
        <f>+'WS A  - RB Support '!E19</f>
        <v>46595</v>
      </c>
    </row>
    <row r="75" spans="2:7" ht="12.75">
      <c r="B75" s="502"/>
      <c r="C75" s="860" t="s">
        <v>371</v>
      </c>
      <c r="D75" s="672"/>
      <c r="G75" s="843">
        <f>+G74+G73</f>
        <v>46627</v>
      </c>
    </row>
    <row r="76" spans="2:16" ht="12.75">
      <c r="B76" s="502"/>
      <c r="C76" s="860" t="str">
        <f>+"Average Transmission Plant Balance for "&amp;TCOS!L2&amp;""</f>
        <v>Average Transmission Plant Balance for 2017</v>
      </c>
      <c r="D76" s="672"/>
      <c r="G76" s="843">
        <f>+G75/2</f>
        <v>23313.5</v>
      </c>
      <c r="I76" s="468"/>
      <c r="J76" s="584"/>
      <c r="K76" s="867"/>
      <c r="L76" s="468"/>
      <c r="M76" s="468"/>
      <c r="N76" s="468"/>
      <c r="O76" s="468"/>
      <c r="P76" s="584"/>
    </row>
    <row r="77" spans="2:16" ht="12.75">
      <c r="B77" s="502"/>
      <c r="C77" s="860" t="str">
        <f>"Annual Depreciation and Amortization Expense (TCOS, ln "&amp;TCOS!B177&amp;")"</f>
        <v>Annual Depreciation and Amortization Expense (TCOS, ln 109)</v>
      </c>
      <c r="D77" s="672"/>
      <c r="E77" s="468"/>
      <c r="G77" s="865">
        <f>TCOS!L177</f>
        <v>434</v>
      </c>
      <c r="H77" s="843"/>
      <c r="I77" s="468"/>
      <c r="J77" s="584"/>
      <c r="K77" s="468"/>
      <c r="L77" s="468"/>
      <c r="M77" s="468"/>
      <c r="N77" s="468"/>
      <c r="O77" s="468"/>
      <c r="P77" s="584"/>
    </row>
    <row r="78" spans="2:17" ht="12.75" customHeight="1">
      <c r="B78" s="502"/>
      <c r="C78" s="860" t="s">
        <v>115</v>
      </c>
      <c r="D78" s="672"/>
      <c r="E78" s="468"/>
      <c r="G78" s="868">
        <f>IF(G76=0,ROUND('WS P Dep. Rates'!E30,4),G77/G76)</f>
        <v>0.018615823449932442</v>
      </c>
      <c r="H78" s="869"/>
      <c r="I78" s="1285" t="str">
        <f>"Note 1:  Until "&amp;A4&amp;" establishes Transmission plant in service the depreciation expense component of the carrying charge will be calculated as in the Operating Company formula approved in Docket No. ER08-1329.  The calculation for "&amp;A4&amp;" is shown on Worksheet P."</f>
        <v>Note 1:  Until AEP APPALACHIAN TRANSMISSION COMPANY establishes Transmission plant in service the depreciation expense component of the carrying charge will be calculated as in the Operating Company formula approved in Docket No. ER08-1329.  The calculation for AEP APPALACHIAN TRANSMISSION COMPANY is shown on Worksheet P.</v>
      </c>
      <c r="J78" s="1285"/>
      <c r="K78" s="1285"/>
      <c r="L78" s="1285"/>
      <c r="M78" s="1285"/>
      <c r="N78" s="1285"/>
      <c r="O78" s="1285"/>
      <c r="P78" s="793"/>
      <c r="Q78" s="793"/>
    </row>
    <row r="79" spans="2:17" ht="12.75">
      <c r="B79" s="502"/>
      <c r="C79" s="860" t="s">
        <v>116</v>
      </c>
      <c r="D79" s="672"/>
      <c r="E79" s="468"/>
      <c r="G79" s="870">
        <f>IF(G78=0,0,1/G78)</f>
        <v>53.71774193548387</v>
      </c>
      <c r="H79" s="843"/>
      <c r="I79" s="1285"/>
      <c r="J79" s="1285"/>
      <c r="K79" s="1285"/>
      <c r="L79" s="1285"/>
      <c r="M79" s="1285"/>
      <c r="N79" s="1285"/>
      <c r="O79" s="1285"/>
      <c r="P79" s="793"/>
      <c r="Q79" s="793"/>
    </row>
    <row r="80" spans="2:17" ht="12.75">
      <c r="B80" s="502"/>
      <c r="C80" s="860" t="s">
        <v>885</v>
      </c>
      <c r="D80" s="672"/>
      <c r="E80" s="468"/>
      <c r="G80" s="871">
        <f>ROUND(G79,0)</f>
        <v>54</v>
      </c>
      <c r="H80" s="843"/>
      <c r="I80" s="1285"/>
      <c r="J80" s="1285"/>
      <c r="K80" s="1285"/>
      <c r="L80" s="1285"/>
      <c r="M80" s="1285"/>
      <c r="N80" s="1285"/>
      <c r="O80" s="1285"/>
      <c r="P80" s="793"/>
      <c r="Q80" s="793"/>
    </row>
    <row r="81" spans="2:15" ht="12.75">
      <c r="B81" s="502"/>
      <c r="C81" s="860"/>
      <c r="D81" s="672"/>
      <c r="E81" s="468"/>
      <c r="G81" s="872"/>
      <c r="H81" s="843"/>
      <c r="I81" s="1285"/>
      <c r="J81" s="1285"/>
      <c r="K81" s="1285"/>
      <c r="L81" s="1285"/>
      <c r="M81" s="1285"/>
      <c r="N81" s="1285"/>
      <c r="O81" s="1285"/>
    </row>
    <row r="82" spans="3:8" ht="12.75">
      <c r="C82" s="873"/>
      <c r="D82" s="874"/>
      <c r="E82" s="874"/>
      <c r="F82" s="874"/>
      <c r="G82" s="867"/>
      <c r="H82" s="867"/>
    </row>
    <row r="83" spans="1:16" ht="18">
      <c r="A83" s="957" t="str">
        <f>""&amp;A4&amp;" Worksheet J -  ATRR PROJECTED Calculation for PJM Projects Charged to Benefiting Zones"</f>
        <v>AEP APPALACHIAN TRANSMISSION COMPANY Worksheet J -  ATRR PROJECTED Calculation for PJM Projects Charged to Benefiting Zones</v>
      </c>
      <c r="B83" s="502"/>
      <c r="C83" s="860"/>
      <c r="D83" s="672"/>
      <c r="E83" s="468"/>
      <c r="F83" s="842"/>
      <c r="G83" s="468"/>
      <c r="H83" s="843"/>
      <c r="K83" s="876"/>
      <c r="L83" s="876"/>
      <c r="M83" s="876"/>
      <c r="N83" s="788" t="str">
        <f>"Page "&amp;SUM(P$6:P83)&amp;" of "</f>
        <v>Page 2 of </v>
      </c>
      <c r="O83" s="789">
        <f>COUNT(P$6:P$58976)</f>
        <v>2</v>
      </c>
      <c r="P83" s="853">
        <v>1</v>
      </c>
    </row>
    <row r="84" spans="2:16" ht="12.75">
      <c r="B84" s="502"/>
      <c r="C84" s="468"/>
      <c r="D84" s="672"/>
      <c r="E84" s="468"/>
      <c r="F84" s="468"/>
      <c r="G84" s="468"/>
      <c r="H84" s="843"/>
      <c r="I84" s="468"/>
      <c r="J84" s="584"/>
      <c r="K84" s="468"/>
      <c r="L84" s="468"/>
      <c r="M84" s="468"/>
      <c r="N84" s="468"/>
      <c r="O84" s="468"/>
      <c r="P84" s="584"/>
    </row>
    <row r="85" spans="2:16" ht="18">
      <c r="B85" s="792" t="s">
        <v>695</v>
      </c>
      <c r="C85" s="877" t="s">
        <v>137</v>
      </c>
      <c r="D85" s="672"/>
      <c r="E85" s="468"/>
      <c r="F85" s="468"/>
      <c r="G85" s="468"/>
      <c r="H85" s="843"/>
      <c r="I85" s="843"/>
      <c r="J85" s="867"/>
      <c r="K85" s="843"/>
      <c r="L85" s="843"/>
      <c r="M85" s="843"/>
      <c r="N85" s="843"/>
      <c r="O85" s="468"/>
      <c r="P85" s="867"/>
    </row>
    <row r="86" spans="2:16" ht="15" customHeight="1">
      <c r="B86" s="792"/>
      <c r="C86" s="791"/>
      <c r="D86" s="672"/>
      <c r="E86" s="468"/>
      <c r="F86" s="468"/>
      <c r="G86" s="468"/>
      <c r="H86" s="843"/>
      <c r="I86" s="843"/>
      <c r="J86" s="867"/>
      <c r="K86" s="843"/>
      <c r="L86" s="843"/>
      <c r="M86" s="843"/>
      <c r="N86" s="843"/>
      <c r="O86" s="468"/>
      <c r="P86" s="867"/>
    </row>
    <row r="87" spans="2:16" ht="18.75">
      <c r="B87" s="792"/>
      <c r="C87" s="791" t="s">
        <v>138</v>
      </c>
      <c r="D87" s="672"/>
      <c r="E87" s="468"/>
      <c r="F87" s="468"/>
      <c r="G87" s="468"/>
      <c r="H87" s="843"/>
      <c r="I87" s="843"/>
      <c r="J87" s="867"/>
      <c r="K87" s="843"/>
      <c r="L87" s="843"/>
      <c r="M87" s="843"/>
      <c r="N87" s="843"/>
      <c r="O87" s="468"/>
      <c r="P87" s="867"/>
    </row>
    <row r="88" spans="3:16" ht="15.75" thickBot="1">
      <c r="C88" s="396"/>
      <c r="D88" s="672"/>
      <c r="E88" s="468"/>
      <c r="F88" s="468"/>
      <c r="G88" s="468"/>
      <c r="H88" s="843"/>
      <c r="I88" s="843"/>
      <c r="J88" s="867"/>
      <c r="K88" s="843"/>
      <c r="L88" s="843"/>
      <c r="M88" s="843"/>
      <c r="N88" s="843"/>
      <c r="O88" s="468"/>
      <c r="P88" s="867"/>
    </row>
    <row r="89" spans="3:16" ht="15.75">
      <c r="C89" s="794" t="s">
        <v>139</v>
      </c>
      <c r="D89" s="672"/>
      <c r="E89" s="468"/>
      <c r="F89" s="468"/>
      <c r="G89" s="946"/>
      <c r="H89" s="468" t="s">
        <v>117</v>
      </c>
      <c r="I89" s="468"/>
      <c r="J89" s="584"/>
      <c r="K89" s="878" t="s">
        <v>143</v>
      </c>
      <c r="L89" s="879"/>
      <c r="M89" s="880"/>
      <c r="N89" s="881">
        <f>IF(I95=0,0,VLOOKUP(I95,C102:O161,5))</f>
        <v>0</v>
      </c>
      <c r="O89" s="468"/>
      <c r="P89" s="584"/>
    </row>
    <row r="90" spans="3:16" ht="15.75">
      <c r="C90" s="794"/>
      <c r="D90" s="672"/>
      <c r="E90" s="468"/>
      <c r="F90" s="468"/>
      <c r="G90" s="468"/>
      <c r="H90" s="882"/>
      <c r="I90" s="882"/>
      <c r="J90" s="883"/>
      <c r="K90" s="884" t="s">
        <v>144</v>
      </c>
      <c r="L90" s="885"/>
      <c r="M90" s="584"/>
      <c r="N90" s="886">
        <f>IF(I95=0,0,VLOOKUP(I95,C102:O161,6))</f>
        <v>0</v>
      </c>
      <c r="O90" s="468"/>
      <c r="P90" s="883"/>
    </row>
    <row r="91" spans="3:16" ht="13.5" thickBot="1">
      <c r="C91" s="887" t="s">
        <v>140</v>
      </c>
      <c r="D91" s="947" t="s">
        <v>637</v>
      </c>
      <c r="E91" s="628"/>
      <c r="F91" s="628"/>
      <c r="G91" s="628"/>
      <c r="H91" s="947"/>
      <c r="I91" s="947"/>
      <c r="J91" s="867"/>
      <c r="K91" s="952" t="s">
        <v>332</v>
      </c>
      <c r="L91" s="888"/>
      <c r="M91" s="888"/>
      <c r="N91" s="889">
        <f>+N90-N89</f>
        <v>0</v>
      </c>
      <c r="O91" s="468"/>
      <c r="P91" s="867"/>
    </row>
    <row r="92" spans="3:16" ht="12.75">
      <c r="C92" s="890"/>
      <c r="D92" s="891"/>
      <c r="E92" s="872"/>
      <c r="F92" s="872"/>
      <c r="G92" s="892"/>
      <c r="H92" s="843"/>
      <c r="I92" s="843"/>
      <c r="J92" s="867"/>
      <c r="K92" s="843"/>
      <c r="L92" s="843"/>
      <c r="M92" s="843"/>
      <c r="N92" s="843"/>
      <c r="O92" s="468"/>
      <c r="P92" s="867"/>
    </row>
    <row r="93" spans="3:16" ht="13.5" thickBot="1">
      <c r="C93" s="893"/>
      <c r="D93" s="894"/>
      <c r="E93" s="892"/>
      <c r="F93" s="892"/>
      <c r="G93" s="892"/>
      <c r="H93" s="892"/>
      <c r="I93" s="892"/>
      <c r="J93" s="895"/>
      <c r="K93" s="892"/>
      <c r="L93" s="892"/>
      <c r="M93" s="892"/>
      <c r="N93" s="892"/>
      <c r="O93" s="502"/>
      <c r="P93" s="895"/>
    </row>
    <row r="94" spans="3:16" ht="13.5" thickBot="1">
      <c r="C94" s="896" t="s">
        <v>141</v>
      </c>
      <c r="D94" s="897"/>
      <c r="E94" s="897"/>
      <c r="F94" s="897"/>
      <c r="G94" s="897"/>
      <c r="H94" s="897"/>
      <c r="I94" s="898"/>
      <c r="J94" s="899"/>
      <c r="K94" s="468"/>
      <c r="L94" s="468"/>
      <c r="M94" s="468"/>
      <c r="N94" s="468"/>
      <c r="O94" s="900"/>
      <c r="P94" s="899"/>
    </row>
    <row r="95" spans="3:16" ht="15">
      <c r="C95" s="901" t="s">
        <v>118</v>
      </c>
      <c r="D95" s="949">
        <v>0</v>
      </c>
      <c r="E95" s="860" t="s">
        <v>119</v>
      </c>
      <c r="G95" s="902"/>
      <c r="H95" s="902"/>
      <c r="I95" s="903">
        <f>TCOS!$L$2</f>
        <v>2017</v>
      </c>
      <c r="J95" s="689"/>
      <c r="K95" s="1284" t="s">
        <v>340</v>
      </c>
      <c r="L95" s="1284"/>
      <c r="M95" s="1284"/>
      <c r="N95" s="1284"/>
      <c r="O95" s="1284"/>
      <c r="P95" s="689"/>
    </row>
    <row r="96" spans="3:16" ht="12.75">
      <c r="C96" s="901" t="s">
        <v>121</v>
      </c>
      <c r="D96" s="950">
        <v>0</v>
      </c>
      <c r="E96" s="901" t="s">
        <v>122</v>
      </c>
      <c r="F96" s="902"/>
      <c r="H96" s="352"/>
      <c r="I96" s="992">
        <f>IF(G89="",0,$F$15)</f>
        <v>0</v>
      </c>
      <c r="J96" s="904"/>
      <c r="K96" s="867" t="s">
        <v>340</v>
      </c>
      <c r="P96" s="904"/>
    </row>
    <row r="97" spans="3:16" ht="12.75">
      <c r="C97" s="901" t="s">
        <v>123</v>
      </c>
      <c r="D97" s="951">
        <v>0</v>
      </c>
      <c r="E97" s="901" t="s">
        <v>124</v>
      </c>
      <c r="F97" s="902"/>
      <c r="H97" s="352"/>
      <c r="I97" s="905">
        <f>$G$68</f>
        <v>4.242202444421231</v>
      </c>
      <c r="J97" s="906"/>
      <c r="K97" s="352" t="str">
        <f>"          INPUT PROJECTED ARR (WITH &amp; WITHOUT INCENTIVES) FROM EACH PRIOR YEAR"</f>
        <v>          INPUT PROJECTED ARR (WITH &amp; WITHOUT INCENTIVES) FROM EACH PRIOR YEAR</v>
      </c>
      <c r="P97" s="906"/>
    </row>
    <row r="98" spans="3:16" ht="12.75">
      <c r="C98" s="901" t="s">
        <v>125</v>
      </c>
      <c r="D98" s="907">
        <f>G$80</f>
        <v>54</v>
      </c>
      <c r="E98" s="901" t="s">
        <v>126</v>
      </c>
      <c r="F98" s="902"/>
      <c r="H98" s="352"/>
      <c r="I98" s="905">
        <f>IF(G89="",I97,$G$67)</f>
        <v>4.242202444421231</v>
      </c>
      <c r="J98" s="908"/>
      <c r="K98" s="352" t="s">
        <v>216</v>
      </c>
      <c r="P98" s="908"/>
    </row>
    <row r="99" spans="3:16" ht="13.5" thickBot="1">
      <c r="C99" s="901" t="s">
        <v>127</v>
      </c>
      <c r="D99" s="948" t="s">
        <v>128</v>
      </c>
      <c r="E99" s="909" t="s">
        <v>129</v>
      </c>
      <c r="F99" s="910"/>
      <c r="G99" s="911"/>
      <c r="H99" s="911"/>
      <c r="I99" s="889">
        <f>IF(D95=0,0,D95/D98)</f>
        <v>0</v>
      </c>
      <c r="J99" s="867"/>
      <c r="K99" s="867" t="s">
        <v>222</v>
      </c>
      <c r="L99" s="867"/>
      <c r="M99" s="867"/>
      <c r="N99" s="867"/>
      <c r="O99" s="584"/>
      <c r="P99" s="867"/>
    </row>
    <row r="100" spans="1:16" ht="51">
      <c r="A100" s="793"/>
      <c r="B100" s="912"/>
      <c r="C100" s="913" t="s">
        <v>118</v>
      </c>
      <c r="D100" s="914" t="s">
        <v>130</v>
      </c>
      <c r="E100" s="915" t="s">
        <v>131</v>
      </c>
      <c r="F100" s="914" t="s">
        <v>132</v>
      </c>
      <c r="G100" s="915" t="s">
        <v>215</v>
      </c>
      <c r="H100" s="916" t="s">
        <v>215</v>
      </c>
      <c r="I100" s="913" t="s">
        <v>142</v>
      </c>
      <c r="J100" s="917"/>
      <c r="K100" s="915" t="s">
        <v>224</v>
      </c>
      <c r="L100" s="918"/>
      <c r="M100" s="915" t="s">
        <v>224</v>
      </c>
      <c r="N100" s="918"/>
      <c r="O100" s="918"/>
      <c r="P100" s="919"/>
    </row>
    <row r="101" spans="3:16" ht="13.5" thickBot="1">
      <c r="C101" s="920" t="s">
        <v>698</v>
      </c>
      <c r="D101" s="921" t="s">
        <v>699</v>
      </c>
      <c r="E101" s="920" t="s">
        <v>590</v>
      </c>
      <c r="F101" s="921" t="s">
        <v>699</v>
      </c>
      <c r="G101" s="922" t="s">
        <v>145</v>
      </c>
      <c r="H101" s="923" t="s">
        <v>147</v>
      </c>
      <c r="I101" s="924" t="s">
        <v>70</v>
      </c>
      <c r="J101" s="925"/>
      <c r="K101" s="922" t="s">
        <v>134</v>
      </c>
      <c r="L101" s="926"/>
      <c r="M101" s="922" t="s">
        <v>147</v>
      </c>
      <c r="N101" s="926"/>
      <c r="O101" s="926"/>
      <c r="P101" s="689"/>
    </row>
    <row r="102" spans="3:16" ht="12.75">
      <c r="C102" s="927">
        <f>IF(D96="","-",D96)</f>
        <v>0</v>
      </c>
      <c r="D102" s="874">
        <f>+D95</f>
        <v>0</v>
      </c>
      <c r="E102" s="928">
        <f>+I99/12*(12-D97)</f>
        <v>0</v>
      </c>
      <c r="F102" s="874">
        <f>+D102-E102</f>
        <v>0</v>
      </c>
      <c r="G102" s="929">
        <f>+$I$97*((D102+F102)/2)+E102</f>
        <v>0</v>
      </c>
      <c r="H102" s="930">
        <f>$I$98*((D102+F102)/2)+E102</f>
        <v>0</v>
      </c>
      <c r="I102" s="931">
        <f>+H102-G102</f>
        <v>0</v>
      </c>
      <c r="J102" s="931"/>
      <c r="K102" s="953">
        <v>0</v>
      </c>
      <c r="L102" s="932"/>
      <c r="M102" s="953">
        <v>0</v>
      </c>
      <c r="N102" s="932"/>
      <c r="O102" s="932"/>
      <c r="P102" s="933"/>
    </row>
    <row r="103" spans="3:16" ht="12.75">
      <c r="C103" s="927">
        <f>IF(D96="","-",+C102+1)</f>
        <v>1</v>
      </c>
      <c r="D103" s="874">
        <f aca="true" t="shared" si="0" ref="D103:D134">F102</f>
        <v>0</v>
      </c>
      <c r="E103" s="928">
        <f>IF(D103&gt;$I$99,$I$99,D103)</f>
        <v>0</v>
      </c>
      <c r="F103" s="874">
        <f aca="true" t="shared" si="1" ref="F103:F133">+D103-E103</f>
        <v>0</v>
      </c>
      <c r="G103" s="934">
        <f aca="true" t="shared" si="2" ref="G103:G161">+$I$97*((D103+F103)/2)+E103</f>
        <v>0</v>
      </c>
      <c r="H103" s="935">
        <f aca="true" t="shared" si="3" ref="H103:H161">$I$98*((D103+F103)/2)+E103</f>
        <v>0</v>
      </c>
      <c r="I103" s="931">
        <f aca="true" t="shared" si="4" ref="I103:I161">+H103-G103</f>
        <v>0</v>
      </c>
      <c r="J103" s="931"/>
      <c r="K103" s="954">
        <v>0</v>
      </c>
      <c r="L103" s="936"/>
      <c r="M103" s="954">
        <v>0</v>
      </c>
      <c r="N103" s="936"/>
      <c r="O103" s="936"/>
      <c r="P103" s="933"/>
    </row>
    <row r="104" spans="3:16" ht="12.75">
      <c r="C104" s="927">
        <f>IF(D96="","-",+C103+1)</f>
        <v>2</v>
      </c>
      <c r="D104" s="874">
        <f t="shared" si="0"/>
        <v>0</v>
      </c>
      <c r="E104" s="928">
        <f aca="true" t="shared" si="5" ref="E104:E161">IF(D104&gt;$I$99,$I$99,D104)</f>
        <v>0</v>
      </c>
      <c r="F104" s="874">
        <f t="shared" si="1"/>
        <v>0</v>
      </c>
      <c r="G104" s="934">
        <f t="shared" si="2"/>
        <v>0</v>
      </c>
      <c r="H104" s="935">
        <f t="shared" si="3"/>
        <v>0</v>
      </c>
      <c r="I104" s="931">
        <f t="shared" si="4"/>
        <v>0</v>
      </c>
      <c r="J104" s="931"/>
      <c r="K104" s="955">
        <v>0</v>
      </c>
      <c r="L104" s="936"/>
      <c r="M104" s="955">
        <v>0</v>
      </c>
      <c r="N104" s="936"/>
      <c r="O104" s="936"/>
      <c r="P104" s="933"/>
    </row>
    <row r="105" spans="3:16" ht="12.75">
      <c r="C105" s="927">
        <f>IF(D96="","-",+C104+1)</f>
        <v>3</v>
      </c>
      <c r="D105" s="874">
        <f t="shared" si="0"/>
        <v>0</v>
      </c>
      <c r="E105" s="928">
        <f t="shared" si="5"/>
        <v>0</v>
      </c>
      <c r="F105" s="874">
        <f t="shared" si="1"/>
        <v>0</v>
      </c>
      <c r="G105" s="934">
        <f t="shared" si="2"/>
        <v>0</v>
      </c>
      <c r="H105" s="935">
        <f t="shared" si="3"/>
        <v>0</v>
      </c>
      <c r="I105" s="931">
        <f t="shared" si="4"/>
        <v>0</v>
      </c>
      <c r="J105" s="931"/>
      <c r="K105" s="955">
        <v>0</v>
      </c>
      <c r="L105" s="936"/>
      <c r="M105" s="955">
        <v>0</v>
      </c>
      <c r="N105" s="936"/>
      <c r="O105" s="936"/>
      <c r="P105" s="933"/>
    </row>
    <row r="106" spans="3:16" ht="12.75">
      <c r="C106" s="927">
        <f>IF(D96="","-",+C105+1)</f>
        <v>4</v>
      </c>
      <c r="D106" s="874">
        <f t="shared" si="0"/>
        <v>0</v>
      </c>
      <c r="E106" s="928">
        <f t="shared" si="5"/>
        <v>0</v>
      </c>
      <c r="F106" s="874">
        <f t="shared" si="1"/>
        <v>0</v>
      </c>
      <c r="G106" s="934">
        <f t="shared" si="2"/>
        <v>0</v>
      </c>
      <c r="H106" s="935">
        <f t="shared" si="3"/>
        <v>0</v>
      </c>
      <c r="I106" s="931">
        <f t="shared" si="4"/>
        <v>0</v>
      </c>
      <c r="J106" s="931"/>
      <c r="K106" s="955"/>
      <c r="L106" s="936"/>
      <c r="M106" s="955"/>
      <c r="N106" s="936"/>
      <c r="O106" s="936"/>
      <c r="P106" s="933"/>
    </row>
    <row r="107" spans="3:16" ht="12.75">
      <c r="C107" s="927">
        <f>IF(D96="","-",+C106+1)</f>
        <v>5</v>
      </c>
      <c r="D107" s="874">
        <f t="shared" si="0"/>
        <v>0</v>
      </c>
      <c r="E107" s="928">
        <f t="shared" si="5"/>
        <v>0</v>
      </c>
      <c r="F107" s="874">
        <f t="shared" si="1"/>
        <v>0</v>
      </c>
      <c r="G107" s="934">
        <f t="shared" si="2"/>
        <v>0</v>
      </c>
      <c r="H107" s="935">
        <f t="shared" si="3"/>
        <v>0</v>
      </c>
      <c r="I107" s="931">
        <f t="shared" si="4"/>
        <v>0</v>
      </c>
      <c r="J107" s="931"/>
      <c r="K107" s="955"/>
      <c r="L107" s="936"/>
      <c r="M107" s="955"/>
      <c r="N107" s="936"/>
      <c r="O107" s="936"/>
      <c r="P107" s="933"/>
    </row>
    <row r="108" spans="3:16" ht="12.75">
      <c r="C108" s="927">
        <f>IF(D96="","-",+C107+1)</f>
        <v>6</v>
      </c>
      <c r="D108" s="874">
        <f t="shared" si="0"/>
        <v>0</v>
      </c>
      <c r="E108" s="928">
        <f t="shared" si="5"/>
        <v>0</v>
      </c>
      <c r="F108" s="874">
        <f t="shared" si="1"/>
        <v>0</v>
      </c>
      <c r="G108" s="934">
        <f t="shared" si="2"/>
        <v>0</v>
      </c>
      <c r="H108" s="935">
        <f t="shared" si="3"/>
        <v>0</v>
      </c>
      <c r="I108" s="931">
        <f t="shared" si="4"/>
        <v>0</v>
      </c>
      <c r="J108" s="931"/>
      <c r="K108" s="955"/>
      <c r="L108" s="936"/>
      <c r="M108" s="955"/>
      <c r="N108" s="936"/>
      <c r="O108" s="936"/>
      <c r="P108" s="933"/>
    </row>
    <row r="109" spans="3:16" ht="12.75">
      <c r="C109" s="927">
        <f>IF(D96="","-",+C108+1)</f>
        <v>7</v>
      </c>
      <c r="D109" s="874">
        <f t="shared" si="0"/>
        <v>0</v>
      </c>
      <c r="E109" s="928">
        <f t="shared" si="5"/>
        <v>0</v>
      </c>
      <c r="F109" s="874">
        <f t="shared" si="1"/>
        <v>0</v>
      </c>
      <c r="G109" s="934">
        <f t="shared" si="2"/>
        <v>0</v>
      </c>
      <c r="H109" s="935">
        <f t="shared" si="3"/>
        <v>0</v>
      </c>
      <c r="I109" s="931">
        <f t="shared" si="4"/>
        <v>0</v>
      </c>
      <c r="J109" s="931"/>
      <c r="K109" s="955"/>
      <c r="L109" s="936"/>
      <c r="M109" s="955"/>
      <c r="N109" s="936"/>
      <c r="O109" s="936"/>
      <c r="P109" s="933"/>
    </row>
    <row r="110" spans="3:16" ht="12.75">
      <c r="C110" s="927">
        <f>IF(D96="","-",+C109+1)</f>
        <v>8</v>
      </c>
      <c r="D110" s="874">
        <f t="shared" si="0"/>
        <v>0</v>
      </c>
      <c r="E110" s="928">
        <f t="shared" si="5"/>
        <v>0</v>
      </c>
      <c r="F110" s="874">
        <f t="shared" si="1"/>
        <v>0</v>
      </c>
      <c r="G110" s="934">
        <f t="shared" si="2"/>
        <v>0</v>
      </c>
      <c r="H110" s="935">
        <f t="shared" si="3"/>
        <v>0</v>
      </c>
      <c r="I110" s="931">
        <f t="shared" si="4"/>
        <v>0</v>
      </c>
      <c r="J110" s="931"/>
      <c r="K110" s="955"/>
      <c r="L110" s="936"/>
      <c r="M110" s="955"/>
      <c r="N110" s="936"/>
      <c r="O110" s="936"/>
      <c r="P110" s="933"/>
    </row>
    <row r="111" spans="3:16" ht="12.75">
      <c r="C111" s="927">
        <f>IF(D96="","-",+C110+1)</f>
        <v>9</v>
      </c>
      <c r="D111" s="874">
        <f t="shared" si="0"/>
        <v>0</v>
      </c>
      <c r="E111" s="928">
        <f t="shared" si="5"/>
        <v>0</v>
      </c>
      <c r="F111" s="874">
        <f t="shared" si="1"/>
        <v>0</v>
      </c>
      <c r="G111" s="934">
        <f t="shared" si="2"/>
        <v>0</v>
      </c>
      <c r="H111" s="935">
        <f t="shared" si="3"/>
        <v>0</v>
      </c>
      <c r="I111" s="931">
        <f t="shared" si="4"/>
        <v>0</v>
      </c>
      <c r="J111" s="931"/>
      <c r="K111" s="955"/>
      <c r="L111" s="936"/>
      <c r="M111" s="955"/>
      <c r="N111" s="936"/>
      <c r="O111" s="936"/>
      <c r="P111" s="933"/>
    </row>
    <row r="112" spans="3:16" ht="12.75">
      <c r="C112" s="927">
        <f>IF(D96="","-",+C111+1)</f>
        <v>10</v>
      </c>
      <c r="D112" s="874">
        <f t="shared" si="0"/>
        <v>0</v>
      </c>
      <c r="E112" s="928">
        <f t="shared" si="5"/>
        <v>0</v>
      </c>
      <c r="F112" s="874">
        <f t="shared" si="1"/>
        <v>0</v>
      </c>
      <c r="G112" s="934">
        <f t="shared" si="2"/>
        <v>0</v>
      </c>
      <c r="H112" s="935">
        <f t="shared" si="3"/>
        <v>0</v>
      </c>
      <c r="I112" s="931">
        <f t="shared" si="4"/>
        <v>0</v>
      </c>
      <c r="J112" s="931"/>
      <c r="K112" s="955"/>
      <c r="L112" s="936"/>
      <c r="M112" s="955"/>
      <c r="N112" s="936"/>
      <c r="O112" s="936"/>
      <c r="P112" s="933"/>
    </row>
    <row r="113" spans="3:16" ht="12.75">
      <c r="C113" s="927">
        <f>IF(D96="","-",+C112+1)</f>
        <v>11</v>
      </c>
      <c r="D113" s="874">
        <f t="shared" si="0"/>
        <v>0</v>
      </c>
      <c r="E113" s="928">
        <f t="shared" si="5"/>
        <v>0</v>
      </c>
      <c r="F113" s="874">
        <f t="shared" si="1"/>
        <v>0</v>
      </c>
      <c r="G113" s="934">
        <f t="shared" si="2"/>
        <v>0</v>
      </c>
      <c r="H113" s="935">
        <f t="shared" si="3"/>
        <v>0</v>
      </c>
      <c r="I113" s="931">
        <f t="shared" si="4"/>
        <v>0</v>
      </c>
      <c r="J113" s="931"/>
      <c r="K113" s="955"/>
      <c r="L113" s="936"/>
      <c r="M113" s="955"/>
      <c r="N113" s="936"/>
      <c r="O113" s="936"/>
      <c r="P113" s="933"/>
    </row>
    <row r="114" spans="3:16" ht="12.75">
      <c r="C114" s="927">
        <f>IF(D96="","-",+C113+1)</f>
        <v>12</v>
      </c>
      <c r="D114" s="874">
        <f t="shared" si="0"/>
        <v>0</v>
      </c>
      <c r="E114" s="928">
        <f t="shared" si="5"/>
        <v>0</v>
      </c>
      <c r="F114" s="874">
        <f t="shared" si="1"/>
        <v>0</v>
      </c>
      <c r="G114" s="934">
        <f t="shared" si="2"/>
        <v>0</v>
      </c>
      <c r="H114" s="935">
        <f t="shared" si="3"/>
        <v>0</v>
      </c>
      <c r="I114" s="931">
        <f t="shared" si="4"/>
        <v>0</v>
      </c>
      <c r="J114" s="931"/>
      <c r="K114" s="955"/>
      <c r="L114" s="936"/>
      <c r="M114" s="955"/>
      <c r="N114" s="937"/>
      <c r="O114" s="936"/>
      <c r="P114" s="933"/>
    </row>
    <row r="115" spans="3:16" ht="12.75">
      <c r="C115" s="927">
        <f>IF(D96="","-",+C114+1)</f>
        <v>13</v>
      </c>
      <c r="D115" s="874">
        <f t="shared" si="0"/>
        <v>0</v>
      </c>
      <c r="E115" s="928">
        <f t="shared" si="5"/>
        <v>0</v>
      </c>
      <c r="F115" s="874">
        <f t="shared" si="1"/>
        <v>0</v>
      </c>
      <c r="G115" s="934">
        <f t="shared" si="2"/>
        <v>0</v>
      </c>
      <c r="H115" s="935">
        <f t="shared" si="3"/>
        <v>0</v>
      </c>
      <c r="I115" s="931">
        <f t="shared" si="4"/>
        <v>0</v>
      </c>
      <c r="J115" s="931"/>
      <c r="K115" s="955"/>
      <c r="L115" s="936"/>
      <c r="M115" s="955"/>
      <c r="N115" s="936"/>
      <c r="O115" s="936"/>
      <c r="P115" s="933"/>
    </row>
    <row r="116" spans="3:16" ht="12.75">
      <c r="C116" s="927">
        <f>IF(D96="","-",+C115+1)</f>
        <v>14</v>
      </c>
      <c r="D116" s="874">
        <f t="shared" si="0"/>
        <v>0</v>
      </c>
      <c r="E116" s="928">
        <f t="shared" si="5"/>
        <v>0</v>
      </c>
      <c r="F116" s="874">
        <f t="shared" si="1"/>
        <v>0</v>
      </c>
      <c r="G116" s="934">
        <f t="shared" si="2"/>
        <v>0</v>
      </c>
      <c r="H116" s="935">
        <f t="shared" si="3"/>
        <v>0</v>
      </c>
      <c r="I116" s="931">
        <f t="shared" si="4"/>
        <v>0</v>
      </c>
      <c r="J116" s="931"/>
      <c r="K116" s="955"/>
      <c r="L116" s="936"/>
      <c r="M116" s="955"/>
      <c r="N116" s="936"/>
      <c r="O116" s="936"/>
      <c r="P116" s="933"/>
    </row>
    <row r="117" spans="3:16" ht="12.75">
      <c r="C117" s="927">
        <f>IF(D96="","-",+C116+1)</f>
        <v>15</v>
      </c>
      <c r="D117" s="874">
        <f t="shared" si="0"/>
        <v>0</v>
      </c>
      <c r="E117" s="928">
        <f t="shared" si="5"/>
        <v>0</v>
      </c>
      <c r="F117" s="874">
        <f t="shared" si="1"/>
        <v>0</v>
      </c>
      <c r="G117" s="934">
        <f t="shared" si="2"/>
        <v>0</v>
      </c>
      <c r="H117" s="935">
        <f t="shared" si="3"/>
        <v>0</v>
      </c>
      <c r="I117" s="931">
        <f t="shared" si="4"/>
        <v>0</v>
      </c>
      <c r="J117" s="931"/>
      <c r="K117" s="955"/>
      <c r="L117" s="936"/>
      <c r="M117" s="955"/>
      <c r="N117" s="936"/>
      <c r="O117" s="936"/>
      <c r="P117" s="933"/>
    </row>
    <row r="118" spans="3:16" ht="12.75">
      <c r="C118" s="927">
        <f>IF(D96="","-",+C117+1)</f>
        <v>16</v>
      </c>
      <c r="D118" s="874">
        <f t="shared" si="0"/>
        <v>0</v>
      </c>
      <c r="E118" s="928">
        <f t="shared" si="5"/>
        <v>0</v>
      </c>
      <c r="F118" s="874">
        <f t="shared" si="1"/>
        <v>0</v>
      </c>
      <c r="G118" s="934">
        <f t="shared" si="2"/>
        <v>0</v>
      </c>
      <c r="H118" s="935">
        <f t="shared" si="3"/>
        <v>0</v>
      </c>
      <c r="I118" s="931">
        <f t="shared" si="4"/>
        <v>0</v>
      </c>
      <c r="J118" s="931"/>
      <c r="K118" s="955"/>
      <c r="L118" s="936"/>
      <c r="M118" s="955"/>
      <c r="N118" s="936"/>
      <c r="O118" s="936"/>
      <c r="P118" s="933"/>
    </row>
    <row r="119" spans="3:16" ht="12.75">
      <c r="C119" s="927">
        <f>IF(D96="","-",+C118+1)</f>
        <v>17</v>
      </c>
      <c r="D119" s="874">
        <f t="shared" si="0"/>
        <v>0</v>
      </c>
      <c r="E119" s="928">
        <f t="shared" si="5"/>
        <v>0</v>
      </c>
      <c r="F119" s="874">
        <f t="shared" si="1"/>
        <v>0</v>
      </c>
      <c r="G119" s="934">
        <f t="shared" si="2"/>
        <v>0</v>
      </c>
      <c r="H119" s="935">
        <f t="shared" si="3"/>
        <v>0</v>
      </c>
      <c r="I119" s="931">
        <f t="shared" si="4"/>
        <v>0</v>
      </c>
      <c r="J119" s="931"/>
      <c r="K119" s="955"/>
      <c r="L119" s="936"/>
      <c r="M119" s="955"/>
      <c r="N119" s="936"/>
      <c r="O119" s="936"/>
      <c r="P119" s="933"/>
    </row>
    <row r="120" spans="3:16" ht="12.75">
      <c r="C120" s="927">
        <f>IF(D96="","-",+C119+1)</f>
        <v>18</v>
      </c>
      <c r="D120" s="874">
        <f t="shared" si="0"/>
        <v>0</v>
      </c>
      <c r="E120" s="928">
        <f t="shared" si="5"/>
        <v>0</v>
      </c>
      <c r="F120" s="874">
        <f t="shared" si="1"/>
        <v>0</v>
      </c>
      <c r="G120" s="934">
        <f t="shared" si="2"/>
        <v>0</v>
      </c>
      <c r="H120" s="935">
        <f t="shared" si="3"/>
        <v>0</v>
      </c>
      <c r="I120" s="931">
        <f t="shared" si="4"/>
        <v>0</v>
      </c>
      <c r="J120" s="931"/>
      <c r="K120" s="955"/>
      <c r="L120" s="936"/>
      <c r="M120" s="955"/>
      <c r="N120" s="936"/>
      <c r="O120" s="936"/>
      <c r="P120" s="933"/>
    </row>
    <row r="121" spans="3:16" ht="12.75">
      <c r="C121" s="927">
        <f>IF(D96="","-",+C120+1)</f>
        <v>19</v>
      </c>
      <c r="D121" s="874">
        <f t="shared" si="0"/>
        <v>0</v>
      </c>
      <c r="E121" s="928">
        <f t="shared" si="5"/>
        <v>0</v>
      </c>
      <c r="F121" s="874">
        <f t="shared" si="1"/>
        <v>0</v>
      </c>
      <c r="G121" s="934">
        <f t="shared" si="2"/>
        <v>0</v>
      </c>
      <c r="H121" s="935">
        <f t="shared" si="3"/>
        <v>0</v>
      </c>
      <c r="I121" s="931">
        <f t="shared" si="4"/>
        <v>0</v>
      </c>
      <c r="J121" s="931"/>
      <c r="K121" s="955"/>
      <c r="L121" s="936"/>
      <c r="M121" s="955"/>
      <c r="N121" s="936"/>
      <c r="O121" s="936"/>
      <c r="P121" s="933"/>
    </row>
    <row r="122" spans="3:16" ht="12.75">
      <c r="C122" s="927">
        <f>IF(D96="","-",+C121+1)</f>
        <v>20</v>
      </c>
      <c r="D122" s="874">
        <f t="shared" si="0"/>
        <v>0</v>
      </c>
      <c r="E122" s="928">
        <f t="shared" si="5"/>
        <v>0</v>
      </c>
      <c r="F122" s="874">
        <f t="shared" si="1"/>
        <v>0</v>
      </c>
      <c r="G122" s="934">
        <f t="shared" si="2"/>
        <v>0</v>
      </c>
      <c r="H122" s="935">
        <f t="shared" si="3"/>
        <v>0</v>
      </c>
      <c r="I122" s="931">
        <f t="shared" si="4"/>
        <v>0</v>
      </c>
      <c r="J122" s="931"/>
      <c r="K122" s="955"/>
      <c r="L122" s="936"/>
      <c r="M122" s="955"/>
      <c r="N122" s="936"/>
      <c r="O122" s="936"/>
      <c r="P122" s="933"/>
    </row>
    <row r="123" spans="3:16" ht="12.75">
      <c r="C123" s="927">
        <f>IF(D96="","-",+C122+1)</f>
        <v>21</v>
      </c>
      <c r="D123" s="874">
        <f t="shared" si="0"/>
        <v>0</v>
      </c>
      <c r="E123" s="928">
        <f t="shared" si="5"/>
        <v>0</v>
      </c>
      <c r="F123" s="874">
        <f t="shared" si="1"/>
        <v>0</v>
      </c>
      <c r="G123" s="934">
        <f t="shared" si="2"/>
        <v>0</v>
      </c>
      <c r="H123" s="935">
        <f t="shared" si="3"/>
        <v>0</v>
      </c>
      <c r="I123" s="931">
        <f t="shared" si="4"/>
        <v>0</v>
      </c>
      <c r="J123" s="931"/>
      <c r="K123" s="955"/>
      <c r="L123" s="936"/>
      <c r="M123" s="955"/>
      <c r="N123" s="936"/>
      <c r="O123" s="936"/>
      <c r="P123" s="933"/>
    </row>
    <row r="124" spans="3:16" ht="12.75">
      <c r="C124" s="927">
        <f>IF(D96="","-",+C123+1)</f>
        <v>22</v>
      </c>
      <c r="D124" s="874">
        <f t="shared" si="0"/>
        <v>0</v>
      </c>
      <c r="E124" s="928">
        <f t="shared" si="5"/>
        <v>0</v>
      </c>
      <c r="F124" s="874">
        <f t="shared" si="1"/>
        <v>0</v>
      </c>
      <c r="G124" s="934">
        <f t="shared" si="2"/>
        <v>0</v>
      </c>
      <c r="H124" s="935">
        <f t="shared" si="3"/>
        <v>0</v>
      </c>
      <c r="I124" s="931">
        <f t="shared" si="4"/>
        <v>0</v>
      </c>
      <c r="J124" s="931"/>
      <c r="K124" s="955"/>
      <c r="L124" s="936"/>
      <c r="M124" s="955"/>
      <c r="N124" s="936"/>
      <c r="O124" s="936"/>
      <c r="P124" s="933"/>
    </row>
    <row r="125" spans="3:16" ht="12.75">
      <c r="C125" s="927">
        <f>IF(D96="","-",+C124+1)</f>
        <v>23</v>
      </c>
      <c r="D125" s="874">
        <f t="shared" si="0"/>
        <v>0</v>
      </c>
      <c r="E125" s="928">
        <f t="shared" si="5"/>
        <v>0</v>
      </c>
      <c r="F125" s="874">
        <f t="shared" si="1"/>
        <v>0</v>
      </c>
      <c r="G125" s="934">
        <f t="shared" si="2"/>
        <v>0</v>
      </c>
      <c r="H125" s="935">
        <f t="shared" si="3"/>
        <v>0</v>
      </c>
      <c r="I125" s="931">
        <f t="shared" si="4"/>
        <v>0</v>
      </c>
      <c r="J125" s="931"/>
      <c r="K125" s="955"/>
      <c r="L125" s="936"/>
      <c r="M125" s="955"/>
      <c r="N125" s="936"/>
      <c r="O125" s="936"/>
      <c r="P125" s="933"/>
    </row>
    <row r="126" spans="3:16" ht="12.75">
      <c r="C126" s="927">
        <f>IF(D96="","-",+C125+1)</f>
        <v>24</v>
      </c>
      <c r="D126" s="874">
        <f t="shared" si="0"/>
        <v>0</v>
      </c>
      <c r="E126" s="928">
        <f t="shared" si="5"/>
        <v>0</v>
      </c>
      <c r="F126" s="874">
        <f t="shared" si="1"/>
        <v>0</v>
      </c>
      <c r="G126" s="934">
        <f t="shared" si="2"/>
        <v>0</v>
      </c>
      <c r="H126" s="935">
        <f t="shared" si="3"/>
        <v>0</v>
      </c>
      <c r="I126" s="931">
        <f t="shared" si="4"/>
        <v>0</v>
      </c>
      <c r="J126" s="931"/>
      <c r="K126" s="955"/>
      <c r="L126" s="936"/>
      <c r="M126" s="955"/>
      <c r="N126" s="936"/>
      <c r="O126" s="936"/>
      <c r="P126" s="933"/>
    </row>
    <row r="127" spans="3:16" ht="12.75">
      <c r="C127" s="927">
        <f>IF(D96="","-",+C126+1)</f>
        <v>25</v>
      </c>
      <c r="D127" s="874">
        <f t="shared" si="0"/>
        <v>0</v>
      </c>
      <c r="E127" s="928">
        <f t="shared" si="5"/>
        <v>0</v>
      </c>
      <c r="F127" s="874">
        <f t="shared" si="1"/>
        <v>0</v>
      </c>
      <c r="G127" s="934">
        <f t="shared" si="2"/>
        <v>0</v>
      </c>
      <c r="H127" s="935">
        <f t="shared" si="3"/>
        <v>0</v>
      </c>
      <c r="I127" s="931">
        <f t="shared" si="4"/>
        <v>0</v>
      </c>
      <c r="J127" s="931"/>
      <c r="K127" s="955"/>
      <c r="L127" s="936"/>
      <c r="M127" s="955"/>
      <c r="N127" s="936"/>
      <c r="O127" s="936"/>
      <c r="P127" s="933"/>
    </row>
    <row r="128" spans="3:16" ht="12.75">
      <c r="C128" s="927">
        <f>IF(D96="","-",+C127+1)</f>
        <v>26</v>
      </c>
      <c r="D128" s="874">
        <f t="shared" si="0"/>
        <v>0</v>
      </c>
      <c r="E128" s="928">
        <f t="shared" si="5"/>
        <v>0</v>
      </c>
      <c r="F128" s="874">
        <f t="shared" si="1"/>
        <v>0</v>
      </c>
      <c r="G128" s="934">
        <f t="shared" si="2"/>
        <v>0</v>
      </c>
      <c r="H128" s="935">
        <f t="shared" si="3"/>
        <v>0</v>
      </c>
      <c r="I128" s="931">
        <f t="shared" si="4"/>
        <v>0</v>
      </c>
      <c r="J128" s="931"/>
      <c r="K128" s="955"/>
      <c r="L128" s="936"/>
      <c r="M128" s="955"/>
      <c r="N128" s="936"/>
      <c r="O128" s="936"/>
      <c r="P128" s="933"/>
    </row>
    <row r="129" spans="3:16" ht="12.75">
      <c r="C129" s="927">
        <f>IF(D96="","-",+C128+1)</f>
        <v>27</v>
      </c>
      <c r="D129" s="874">
        <f t="shared" si="0"/>
        <v>0</v>
      </c>
      <c r="E129" s="928">
        <f t="shared" si="5"/>
        <v>0</v>
      </c>
      <c r="F129" s="874">
        <f t="shared" si="1"/>
        <v>0</v>
      </c>
      <c r="G129" s="934">
        <f t="shared" si="2"/>
        <v>0</v>
      </c>
      <c r="H129" s="935">
        <f t="shared" si="3"/>
        <v>0</v>
      </c>
      <c r="I129" s="931">
        <f t="shared" si="4"/>
        <v>0</v>
      </c>
      <c r="J129" s="931"/>
      <c r="K129" s="955"/>
      <c r="L129" s="936"/>
      <c r="M129" s="955"/>
      <c r="N129" s="936"/>
      <c r="O129" s="936"/>
      <c r="P129" s="933"/>
    </row>
    <row r="130" spans="3:16" ht="12.75">
      <c r="C130" s="927">
        <f>IF(D96="","-",+C129+1)</f>
        <v>28</v>
      </c>
      <c r="D130" s="874">
        <f t="shared" si="0"/>
        <v>0</v>
      </c>
      <c r="E130" s="928">
        <f t="shared" si="5"/>
        <v>0</v>
      </c>
      <c r="F130" s="874">
        <f t="shared" si="1"/>
        <v>0</v>
      </c>
      <c r="G130" s="929">
        <f t="shared" si="2"/>
        <v>0</v>
      </c>
      <c r="H130" s="935">
        <f t="shared" si="3"/>
        <v>0</v>
      </c>
      <c r="I130" s="931">
        <f t="shared" si="4"/>
        <v>0</v>
      </c>
      <c r="J130" s="931"/>
      <c r="K130" s="955"/>
      <c r="L130" s="936"/>
      <c r="M130" s="955"/>
      <c r="N130" s="936"/>
      <c r="O130" s="936"/>
      <c r="P130" s="933"/>
    </row>
    <row r="131" spans="3:16" ht="12.75">
      <c r="C131" s="927">
        <f>IF(D96="","-",+C130+1)</f>
        <v>29</v>
      </c>
      <c r="D131" s="874">
        <f t="shared" si="0"/>
        <v>0</v>
      </c>
      <c r="E131" s="928">
        <f t="shared" si="5"/>
        <v>0</v>
      </c>
      <c r="F131" s="874">
        <f t="shared" si="1"/>
        <v>0</v>
      </c>
      <c r="G131" s="934">
        <f t="shared" si="2"/>
        <v>0</v>
      </c>
      <c r="H131" s="935">
        <f t="shared" si="3"/>
        <v>0</v>
      </c>
      <c r="I131" s="931">
        <f t="shared" si="4"/>
        <v>0</v>
      </c>
      <c r="J131" s="931"/>
      <c r="K131" s="955"/>
      <c r="L131" s="936"/>
      <c r="M131" s="955"/>
      <c r="N131" s="936"/>
      <c r="O131" s="936"/>
      <c r="P131" s="933"/>
    </row>
    <row r="132" spans="3:16" ht="12.75">
      <c r="C132" s="927">
        <f>IF(D96="","-",+C131+1)</f>
        <v>30</v>
      </c>
      <c r="D132" s="874">
        <f t="shared" si="0"/>
        <v>0</v>
      </c>
      <c r="E132" s="928">
        <f t="shared" si="5"/>
        <v>0</v>
      </c>
      <c r="F132" s="874">
        <f t="shared" si="1"/>
        <v>0</v>
      </c>
      <c r="G132" s="934">
        <f t="shared" si="2"/>
        <v>0</v>
      </c>
      <c r="H132" s="935">
        <f t="shared" si="3"/>
        <v>0</v>
      </c>
      <c r="I132" s="931">
        <f t="shared" si="4"/>
        <v>0</v>
      </c>
      <c r="J132" s="931"/>
      <c r="K132" s="955"/>
      <c r="L132" s="936"/>
      <c r="M132" s="955"/>
      <c r="N132" s="936"/>
      <c r="O132" s="936"/>
      <c r="P132" s="933"/>
    </row>
    <row r="133" spans="3:16" ht="12.75">
      <c r="C133" s="927">
        <f>IF(D96="","-",+C132+1)</f>
        <v>31</v>
      </c>
      <c r="D133" s="874">
        <f t="shared" si="0"/>
        <v>0</v>
      </c>
      <c r="E133" s="928">
        <f t="shared" si="5"/>
        <v>0</v>
      </c>
      <c r="F133" s="874">
        <f t="shared" si="1"/>
        <v>0</v>
      </c>
      <c r="G133" s="934">
        <f t="shared" si="2"/>
        <v>0</v>
      </c>
      <c r="H133" s="935">
        <f t="shared" si="3"/>
        <v>0</v>
      </c>
      <c r="I133" s="931">
        <f t="shared" si="4"/>
        <v>0</v>
      </c>
      <c r="J133" s="931"/>
      <c r="K133" s="955"/>
      <c r="L133" s="936"/>
      <c r="M133" s="955"/>
      <c r="N133" s="936"/>
      <c r="O133" s="936"/>
      <c r="P133" s="933"/>
    </row>
    <row r="134" spans="3:16" ht="12.75">
      <c r="C134" s="927">
        <f>IF(D96="","-",+C133+1)</f>
        <v>32</v>
      </c>
      <c r="D134" s="874">
        <f t="shared" si="0"/>
        <v>0</v>
      </c>
      <c r="E134" s="928">
        <f t="shared" si="5"/>
        <v>0</v>
      </c>
      <c r="F134" s="874">
        <f aca="true" t="shared" si="6" ref="F134:F161">+D134-E134</f>
        <v>0</v>
      </c>
      <c r="G134" s="934">
        <f t="shared" si="2"/>
        <v>0</v>
      </c>
      <c r="H134" s="935">
        <f t="shared" si="3"/>
        <v>0</v>
      </c>
      <c r="I134" s="931">
        <f t="shared" si="4"/>
        <v>0</v>
      </c>
      <c r="J134" s="931"/>
      <c r="K134" s="955"/>
      <c r="L134" s="936"/>
      <c r="M134" s="955"/>
      <c r="N134" s="936"/>
      <c r="O134" s="936"/>
      <c r="P134" s="933"/>
    </row>
    <row r="135" spans="3:16" ht="12.75">
      <c r="C135" s="927">
        <f>IF(D96="","-",+C134+1)</f>
        <v>33</v>
      </c>
      <c r="D135" s="874">
        <f aca="true" t="shared" si="7" ref="D135:D161">F134</f>
        <v>0</v>
      </c>
      <c r="E135" s="928">
        <f t="shared" si="5"/>
        <v>0</v>
      </c>
      <c r="F135" s="874">
        <f t="shared" si="6"/>
        <v>0</v>
      </c>
      <c r="G135" s="934">
        <f t="shared" si="2"/>
        <v>0</v>
      </c>
      <c r="H135" s="935">
        <f t="shared" si="3"/>
        <v>0</v>
      </c>
      <c r="I135" s="931">
        <f t="shared" si="4"/>
        <v>0</v>
      </c>
      <c r="J135" s="931"/>
      <c r="K135" s="955"/>
      <c r="L135" s="936"/>
      <c r="M135" s="955"/>
      <c r="N135" s="936"/>
      <c r="O135" s="936"/>
      <c r="P135" s="933"/>
    </row>
    <row r="136" spans="3:16" ht="12.75">
      <c r="C136" s="927">
        <f>IF(D96="","-",+C135+1)</f>
        <v>34</v>
      </c>
      <c r="D136" s="874">
        <f t="shared" si="7"/>
        <v>0</v>
      </c>
      <c r="E136" s="928">
        <f t="shared" si="5"/>
        <v>0</v>
      </c>
      <c r="F136" s="874">
        <f t="shared" si="6"/>
        <v>0</v>
      </c>
      <c r="G136" s="934">
        <f t="shared" si="2"/>
        <v>0</v>
      </c>
      <c r="H136" s="935">
        <f t="shared" si="3"/>
        <v>0</v>
      </c>
      <c r="I136" s="931">
        <f t="shared" si="4"/>
        <v>0</v>
      </c>
      <c r="J136" s="931"/>
      <c r="K136" s="955"/>
      <c r="L136" s="936"/>
      <c r="M136" s="955"/>
      <c r="N136" s="936"/>
      <c r="O136" s="936"/>
      <c r="P136" s="933"/>
    </row>
    <row r="137" spans="3:16" ht="12.75">
      <c r="C137" s="927">
        <f>IF(D96="","-",+C136+1)</f>
        <v>35</v>
      </c>
      <c r="D137" s="874">
        <f t="shared" si="7"/>
        <v>0</v>
      </c>
      <c r="E137" s="928">
        <f t="shared" si="5"/>
        <v>0</v>
      </c>
      <c r="F137" s="874">
        <f t="shared" si="6"/>
        <v>0</v>
      </c>
      <c r="G137" s="934">
        <f t="shared" si="2"/>
        <v>0</v>
      </c>
      <c r="H137" s="935">
        <f t="shared" si="3"/>
        <v>0</v>
      </c>
      <c r="I137" s="931">
        <f t="shared" si="4"/>
        <v>0</v>
      </c>
      <c r="J137" s="931"/>
      <c r="K137" s="955"/>
      <c r="L137" s="936"/>
      <c r="M137" s="955"/>
      <c r="N137" s="936"/>
      <c r="O137" s="936"/>
      <c r="P137" s="933"/>
    </row>
    <row r="138" spans="3:16" ht="12.75">
      <c r="C138" s="927">
        <f>IF(D96="","-",+C137+1)</f>
        <v>36</v>
      </c>
      <c r="D138" s="874">
        <f t="shared" si="7"/>
        <v>0</v>
      </c>
      <c r="E138" s="928">
        <f t="shared" si="5"/>
        <v>0</v>
      </c>
      <c r="F138" s="874">
        <f t="shared" si="6"/>
        <v>0</v>
      </c>
      <c r="G138" s="934">
        <f t="shared" si="2"/>
        <v>0</v>
      </c>
      <c r="H138" s="935">
        <f t="shared" si="3"/>
        <v>0</v>
      </c>
      <c r="I138" s="931">
        <f t="shared" si="4"/>
        <v>0</v>
      </c>
      <c r="J138" s="931"/>
      <c r="K138" s="955"/>
      <c r="L138" s="936"/>
      <c r="M138" s="955"/>
      <c r="N138" s="936"/>
      <c r="O138" s="936"/>
      <c r="P138" s="933"/>
    </row>
    <row r="139" spans="3:16" ht="12.75">
      <c r="C139" s="927">
        <f>IF(D96="","-",+C138+1)</f>
        <v>37</v>
      </c>
      <c r="D139" s="874">
        <f t="shared" si="7"/>
        <v>0</v>
      </c>
      <c r="E139" s="928">
        <f t="shared" si="5"/>
        <v>0</v>
      </c>
      <c r="F139" s="874">
        <f t="shared" si="6"/>
        <v>0</v>
      </c>
      <c r="G139" s="934">
        <f t="shared" si="2"/>
        <v>0</v>
      </c>
      <c r="H139" s="935">
        <f t="shared" si="3"/>
        <v>0</v>
      </c>
      <c r="I139" s="931">
        <f t="shared" si="4"/>
        <v>0</v>
      </c>
      <c r="J139" s="931"/>
      <c r="K139" s="955"/>
      <c r="L139" s="936"/>
      <c r="M139" s="955"/>
      <c r="N139" s="936"/>
      <c r="O139" s="936"/>
      <c r="P139" s="933"/>
    </row>
    <row r="140" spans="3:16" ht="12.75">
      <c r="C140" s="927">
        <f>IF(D96="","-",+C139+1)</f>
        <v>38</v>
      </c>
      <c r="D140" s="874">
        <f t="shared" si="7"/>
        <v>0</v>
      </c>
      <c r="E140" s="928">
        <f t="shared" si="5"/>
        <v>0</v>
      </c>
      <c r="F140" s="874">
        <f t="shared" si="6"/>
        <v>0</v>
      </c>
      <c r="G140" s="934">
        <f t="shared" si="2"/>
        <v>0</v>
      </c>
      <c r="H140" s="935">
        <f t="shared" si="3"/>
        <v>0</v>
      </c>
      <c r="I140" s="931">
        <f t="shared" si="4"/>
        <v>0</v>
      </c>
      <c r="J140" s="931"/>
      <c r="K140" s="955"/>
      <c r="L140" s="936"/>
      <c r="M140" s="955"/>
      <c r="N140" s="936"/>
      <c r="O140" s="936"/>
      <c r="P140" s="933"/>
    </row>
    <row r="141" spans="3:16" ht="12.75">
      <c r="C141" s="927">
        <f>IF(D96="","-",+C140+1)</f>
        <v>39</v>
      </c>
      <c r="D141" s="874">
        <f t="shared" si="7"/>
        <v>0</v>
      </c>
      <c r="E141" s="928">
        <f t="shared" si="5"/>
        <v>0</v>
      </c>
      <c r="F141" s="874">
        <f t="shared" si="6"/>
        <v>0</v>
      </c>
      <c r="G141" s="934">
        <f t="shared" si="2"/>
        <v>0</v>
      </c>
      <c r="H141" s="935">
        <f t="shared" si="3"/>
        <v>0</v>
      </c>
      <c r="I141" s="931">
        <f t="shared" si="4"/>
        <v>0</v>
      </c>
      <c r="J141" s="931"/>
      <c r="K141" s="955"/>
      <c r="L141" s="936"/>
      <c r="M141" s="955"/>
      <c r="N141" s="936"/>
      <c r="O141" s="936"/>
      <c r="P141" s="933"/>
    </row>
    <row r="142" spans="3:16" ht="12.75">
      <c r="C142" s="927">
        <f>IF(D96="","-",+C141+1)</f>
        <v>40</v>
      </c>
      <c r="D142" s="874">
        <f t="shared" si="7"/>
        <v>0</v>
      </c>
      <c r="E142" s="928">
        <f t="shared" si="5"/>
        <v>0</v>
      </c>
      <c r="F142" s="874">
        <f t="shared" si="6"/>
        <v>0</v>
      </c>
      <c r="G142" s="934">
        <f t="shared" si="2"/>
        <v>0</v>
      </c>
      <c r="H142" s="935">
        <f t="shared" si="3"/>
        <v>0</v>
      </c>
      <c r="I142" s="931">
        <f t="shared" si="4"/>
        <v>0</v>
      </c>
      <c r="J142" s="931"/>
      <c r="K142" s="955"/>
      <c r="L142" s="936"/>
      <c r="M142" s="955"/>
      <c r="N142" s="936"/>
      <c r="O142" s="936"/>
      <c r="P142" s="933"/>
    </row>
    <row r="143" spans="3:16" ht="12.75">
      <c r="C143" s="927">
        <f>IF(D96="","-",+C142+1)</f>
        <v>41</v>
      </c>
      <c r="D143" s="874">
        <f t="shared" si="7"/>
        <v>0</v>
      </c>
      <c r="E143" s="928">
        <f t="shared" si="5"/>
        <v>0</v>
      </c>
      <c r="F143" s="874">
        <f t="shared" si="6"/>
        <v>0</v>
      </c>
      <c r="G143" s="934">
        <f t="shared" si="2"/>
        <v>0</v>
      </c>
      <c r="H143" s="935">
        <f t="shared" si="3"/>
        <v>0</v>
      </c>
      <c r="I143" s="931">
        <f t="shared" si="4"/>
        <v>0</v>
      </c>
      <c r="J143" s="931"/>
      <c r="K143" s="955"/>
      <c r="L143" s="936"/>
      <c r="M143" s="955"/>
      <c r="N143" s="936"/>
      <c r="O143" s="936"/>
      <c r="P143" s="933"/>
    </row>
    <row r="144" spans="3:16" ht="12.75">
      <c r="C144" s="927">
        <f>IF(D96="","-",+C143+1)</f>
        <v>42</v>
      </c>
      <c r="D144" s="874">
        <f t="shared" si="7"/>
        <v>0</v>
      </c>
      <c r="E144" s="928">
        <f t="shared" si="5"/>
        <v>0</v>
      </c>
      <c r="F144" s="874">
        <f t="shared" si="6"/>
        <v>0</v>
      </c>
      <c r="G144" s="934">
        <f t="shared" si="2"/>
        <v>0</v>
      </c>
      <c r="H144" s="935">
        <f t="shared" si="3"/>
        <v>0</v>
      </c>
      <c r="I144" s="931">
        <f t="shared" si="4"/>
        <v>0</v>
      </c>
      <c r="J144" s="931"/>
      <c r="K144" s="955"/>
      <c r="L144" s="936"/>
      <c r="M144" s="955"/>
      <c r="N144" s="936"/>
      <c r="O144" s="936"/>
      <c r="P144" s="933"/>
    </row>
    <row r="145" spans="3:16" ht="12.75">
      <c r="C145" s="927">
        <f>IF(D96="","-",+C144+1)</f>
        <v>43</v>
      </c>
      <c r="D145" s="874">
        <f t="shared" si="7"/>
        <v>0</v>
      </c>
      <c r="E145" s="928">
        <f t="shared" si="5"/>
        <v>0</v>
      </c>
      <c r="F145" s="874">
        <f t="shared" si="6"/>
        <v>0</v>
      </c>
      <c r="G145" s="934">
        <f t="shared" si="2"/>
        <v>0</v>
      </c>
      <c r="H145" s="935">
        <f t="shared" si="3"/>
        <v>0</v>
      </c>
      <c r="I145" s="931">
        <f t="shared" si="4"/>
        <v>0</v>
      </c>
      <c r="J145" s="931"/>
      <c r="K145" s="955"/>
      <c r="L145" s="936"/>
      <c r="M145" s="955"/>
      <c r="N145" s="936"/>
      <c r="O145" s="936"/>
      <c r="P145" s="933"/>
    </row>
    <row r="146" spans="3:16" ht="12.75">
      <c r="C146" s="927">
        <f>IF(D96="","-",+C145+1)</f>
        <v>44</v>
      </c>
      <c r="D146" s="874">
        <f t="shared" si="7"/>
        <v>0</v>
      </c>
      <c r="E146" s="928">
        <f t="shared" si="5"/>
        <v>0</v>
      </c>
      <c r="F146" s="874">
        <f t="shared" si="6"/>
        <v>0</v>
      </c>
      <c r="G146" s="934">
        <f t="shared" si="2"/>
        <v>0</v>
      </c>
      <c r="H146" s="935">
        <f t="shared" si="3"/>
        <v>0</v>
      </c>
      <c r="I146" s="931">
        <f t="shared" si="4"/>
        <v>0</v>
      </c>
      <c r="J146" s="931"/>
      <c r="K146" s="955"/>
      <c r="L146" s="936"/>
      <c r="M146" s="955"/>
      <c r="N146" s="936"/>
      <c r="O146" s="936"/>
      <c r="P146" s="933"/>
    </row>
    <row r="147" spans="3:16" ht="12.75">
      <c r="C147" s="927">
        <f>IF(D96="","-",+C146+1)</f>
        <v>45</v>
      </c>
      <c r="D147" s="874">
        <f t="shared" si="7"/>
        <v>0</v>
      </c>
      <c r="E147" s="928">
        <f t="shared" si="5"/>
        <v>0</v>
      </c>
      <c r="F147" s="874">
        <f t="shared" si="6"/>
        <v>0</v>
      </c>
      <c r="G147" s="934">
        <f t="shared" si="2"/>
        <v>0</v>
      </c>
      <c r="H147" s="935">
        <f t="shared" si="3"/>
        <v>0</v>
      </c>
      <c r="I147" s="931">
        <f t="shared" si="4"/>
        <v>0</v>
      </c>
      <c r="J147" s="931"/>
      <c r="K147" s="955"/>
      <c r="L147" s="936"/>
      <c r="M147" s="955"/>
      <c r="N147" s="936"/>
      <c r="O147" s="936"/>
      <c r="P147" s="933"/>
    </row>
    <row r="148" spans="3:16" ht="12.75">
      <c r="C148" s="927">
        <f>IF(D96="","-",+C147+1)</f>
        <v>46</v>
      </c>
      <c r="D148" s="874">
        <f t="shared" si="7"/>
        <v>0</v>
      </c>
      <c r="E148" s="928">
        <f t="shared" si="5"/>
        <v>0</v>
      </c>
      <c r="F148" s="874">
        <f t="shared" si="6"/>
        <v>0</v>
      </c>
      <c r="G148" s="934">
        <f t="shared" si="2"/>
        <v>0</v>
      </c>
      <c r="H148" s="935">
        <f t="shared" si="3"/>
        <v>0</v>
      </c>
      <c r="I148" s="931">
        <f t="shared" si="4"/>
        <v>0</v>
      </c>
      <c r="J148" s="931"/>
      <c r="K148" s="955"/>
      <c r="L148" s="936"/>
      <c r="M148" s="955"/>
      <c r="N148" s="936"/>
      <c r="O148" s="936"/>
      <c r="P148" s="933"/>
    </row>
    <row r="149" spans="3:16" ht="12.75">
      <c r="C149" s="927">
        <f>IF(D96="","-",+C148+1)</f>
        <v>47</v>
      </c>
      <c r="D149" s="874">
        <f t="shared" si="7"/>
        <v>0</v>
      </c>
      <c r="E149" s="928">
        <f t="shared" si="5"/>
        <v>0</v>
      </c>
      <c r="F149" s="874">
        <f t="shared" si="6"/>
        <v>0</v>
      </c>
      <c r="G149" s="934">
        <f t="shared" si="2"/>
        <v>0</v>
      </c>
      <c r="H149" s="935">
        <f t="shared" si="3"/>
        <v>0</v>
      </c>
      <c r="I149" s="931">
        <f t="shared" si="4"/>
        <v>0</v>
      </c>
      <c r="J149" s="931"/>
      <c r="K149" s="955"/>
      <c r="L149" s="936"/>
      <c r="M149" s="955"/>
      <c r="N149" s="936"/>
      <c r="O149" s="936"/>
      <c r="P149" s="933"/>
    </row>
    <row r="150" spans="3:16" ht="12.75">
      <c r="C150" s="927">
        <f>IF(D96="","-",+C149+1)</f>
        <v>48</v>
      </c>
      <c r="D150" s="874">
        <f t="shared" si="7"/>
        <v>0</v>
      </c>
      <c r="E150" s="928">
        <f t="shared" si="5"/>
        <v>0</v>
      </c>
      <c r="F150" s="874">
        <f t="shared" si="6"/>
        <v>0</v>
      </c>
      <c r="G150" s="934">
        <f t="shared" si="2"/>
        <v>0</v>
      </c>
      <c r="H150" s="935">
        <f t="shared" si="3"/>
        <v>0</v>
      </c>
      <c r="I150" s="931">
        <f t="shared" si="4"/>
        <v>0</v>
      </c>
      <c r="J150" s="931"/>
      <c r="K150" s="955"/>
      <c r="L150" s="936"/>
      <c r="M150" s="955"/>
      <c r="N150" s="936"/>
      <c r="O150" s="936"/>
      <c r="P150" s="933"/>
    </row>
    <row r="151" spans="3:16" ht="12.75">
      <c r="C151" s="927">
        <f>IF(D96="","-",+C150+1)</f>
        <v>49</v>
      </c>
      <c r="D151" s="874">
        <f t="shared" si="7"/>
        <v>0</v>
      </c>
      <c r="E151" s="928">
        <f t="shared" si="5"/>
        <v>0</v>
      </c>
      <c r="F151" s="874">
        <f t="shared" si="6"/>
        <v>0</v>
      </c>
      <c r="G151" s="934">
        <f t="shared" si="2"/>
        <v>0</v>
      </c>
      <c r="H151" s="935">
        <f t="shared" si="3"/>
        <v>0</v>
      </c>
      <c r="I151" s="931">
        <f t="shared" si="4"/>
        <v>0</v>
      </c>
      <c r="J151" s="931"/>
      <c r="K151" s="955"/>
      <c r="L151" s="936"/>
      <c r="M151" s="955"/>
      <c r="N151" s="936"/>
      <c r="O151" s="936"/>
      <c r="P151" s="933"/>
    </row>
    <row r="152" spans="3:16" ht="12.75">
      <c r="C152" s="927">
        <f>IF(D96="","-",+C151+1)</f>
        <v>50</v>
      </c>
      <c r="D152" s="874">
        <f t="shared" si="7"/>
        <v>0</v>
      </c>
      <c r="E152" s="928">
        <f t="shared" si="5"/>
        <v>0</v>
      </c>
      <c r="F152" s="874">
        <f t="shared" si="6"/>
        <v>0</v>
      </c>
      <c r="G152" s="934">
        <f t="shared" si="2"/>
        <v>0</v>
      </c>
      <c r="H152" s="935">
        <f t="shared" si="3"/>
        <v>0</v>
      </c>
      <c r="I152" s="931">
        <f t="shared" si="4"/>
        <v>0</v>
      </c>
      <c r="J152" s="931"/>
      <c r="K152" s="955"/>
      <c r="L152" s="936"/>
      <c r="M152" s="955"/>
      <c r="N152" s="936"/>
      <c r="O152" s="936"/>
      <c r="P152" s="933"/>
    </row>
    <row r="153" spans="3:16" ht="12.75">
      <c r="C153" s="927">
        <f>IF(D96="","-",+C152+1)</f>
        <v>51</v>
      </c>
      <c r="D153" s="874">
        <f t="shared" si="7"/>
        <v>0</v>
      </c>
      <c r="E153" s="928">
        <f t="shared" si="5"/>
        <v>0</v>
      </c>
      <c r="F153" s="874">
        <f t="shared" si="6"/>
        <v>0</v>
      </c>
      <c r="G153" s="934">
        <f t="shared" si="2"/>
        <v>0</v>
      </c>
      <c r="H153" s="935">
        <f t="shared" si="3"/>
        <v>0</v>
      </c>
      <c r="I153" s="931">
        <f t="shared" si="4"/>
        <v>0</v>
      </c>
      <c r="J153" s="931"/>
      <c r="K153" s="955"/>
      <c r="L153" s="936"/>
      <c r="M153" s="955"/>
      <c r="N153" s="936"/>
      <c r="O153" s="936"/>
      <c r="P153" s="933"/>
    </row>
    <row r="154" spans="3:16" ht="12.75">
      <c r="C154" s="927">
        <f>IF(D96="","-",+C153+1)</f>
        <v>52</v>
      </c>
      <c r="D154" s="874">
        <f t="shared" si="7"/>
        <v>0</v>
      </c>
      <c r="E154" s="928">
        <f t="shared" si="5"/>
        <v>0</v>
      </c>
      <c r="F154" s="874">
        <f t="shared" si="6"/>
        <v>0</v>
      </c>
      <c r="G154" s="934">
        <f t="shared" si="2"/>
        <v>0</v>
      </c>
      <c r="H154" s="935">
        <f t="shared" si="3"/>
        <v>0</v>
      </c>
      <c r="I154" s="931">
        <f t="shared" si="4"/>
        <v>0</v>
      </c>
      <c r="J154" s="931"/>
      <c r="K154" s="955"/>
      <c r="L154" s="936"/>
      <c r="M154" s="955"/>
      <c r="N154" s="936"/>
      <c r="O154" s="936"/>
      <c r="P154" s="933"/>
    </row>
    <row r="155" spans="3:16" ht="12.75">
      <c r="C155" s="927">
        <f>IF(D96="","-",+C154+1)</f>
        <v>53</v>
      </c>
      <c r="D155" s="874">
        <f t="shared" si="7"/>
        <v>0</v>
      </c>
      <c r="E155" s="928">
        <f t="shared" si="5"/>
        <v>0</v>
      </c>
      <c r="F155" s="874">
        <f t="shared" si="6"/>
        <v>0</v>
      </c>
      <c r="G155" s="934">
        <f t="shared" si="2"/>
        <v>0</v>
      </c>
      <c r="H155" s="935">
        <f t="shared" si="3"/>
        <v>0</v>
      </c>
      <c r="I155" s="931">
        <f t="shared" si="4"/>
        <v>0</v>
      </c>
      <c r="J155" s="931"/>
      <c r="K155" s="955"/>
      <c r="L155" s="936"/>
      <c r="M155" s="955"/>
      <c r="N155" s="936"/>
      <c r="O155" s="936"/>
      <c r="P155" s="933"/>
    </row>
    <row r="156" spans="3:16" ht="12.75">
      <c r="C156" s="927">
        <f>IF(D96="","-",+C155+1)</f>
        <v>54</v>
      </c>
      <c r="D156" s="874">
        <f t="shared" si="7"/>
        <v>0</v>
      </c>
      <c r="E156" s="928">
        <f t="shared" si="5"/>
        <v>0</v>
      </c>
      <c r="F156" s="874">
        <f t="shared" si="6"/>
        <v>0</v>
      </c>
      <c r="G156" s="934">
        <f t="shared" si="2"/>
        <v>0</v>
      </c>
      <c r="H156" s="935">
        <f t="shared" si="3"/>
        <v>0</v>
      </c>
      <c r="I156" s="931">
        <f t="shared" si="4"/>
        <v>0</v>
      </c>
      <c r="J156" s="931"/>
      <c r="K156" s="955"/>
      <c r="L156" s="936"/>
      <c r="M156" s="955"/>
      <c r="N156" s="936"/>
      <c r="O156" s="936"/>
      <c r="P156" s="933"/>
    </row>
    <row r="157" spans="3:16" ht="12.75">
      <c r="C157" s="927">
        <f>IF(D96="","-",+C156+1)</f>
        <v>55</v>
      </c>
      <c r="D157" s="874">
        <f t="shared" si="7"/>
        <v>0</v>
      </c>
      <c r="E157" s="928">
        <f t="shared" si="5"/>
        <v>0</v>
      </c>
      <c r="F157" s="874">
        <f t="shared" si="6"/>
        <v>0</v>
      </c>
      <c r="G157" s="934">
        <f t="shared" si="2"/>
        <v>0</v>
      </c>
      <c r="H157" s="935">
        <f t="shared" si="3"/>
        <v>0</v>
      </c>
      <c r="I157" s="931">
        <f t="shared" si="4"/>
        <v>0</v>
      </c>
      <c r="J157" s="931"/>
      <c r="K157" s="955"/>
      <c r="L157" s="936"/>
      <c r="M157" s="955"/>
      <c r="N157" s="936"/>
      <c r="O157" s="936"/>
      <c r="P157" s="933"/>
    </row>
    <row r="158" spans="3:16" ht="12.75">
      <c r="C158" s="927">
        <f>IF(D96="","-",+C157+1)</f>
        <v>56</v>
      </c>
      <c r="D158" s="874">
        <f t="shared" si="7"/>
        <v>0</v>
      </c>
      <c r="E158" s="928">
        <f t="shared" si="5"/>
        <v>0</v>
      </c>
      <c r="F158" s="874">
        <f t="shared" si="6"/>
        <v>0</v>
      </c>
      <c r="G158" s="934">
        <f t="shared" si="2"/>
        <v>0</v>
      </c>
      <c r="H158" s="935">
        <f t="shared" si="3"/>
        <v>0</v>
      </c>
      <c r="I158" s="931">
        <f t="shared" si="4"/>
        <v>0</v>
      </c>
      <c r="J158" s="931"/>
      <c r="K158" s="955"/>
      <c r="L158" s="936"/>
      <c r="M158" s="955"/>
      <c r="N158" s="936"/>
      <c r="O158" s="936"/>
      <c r="P158" s="933"/>
    </row>
    <row r="159" spans="3:16" ht="12.75">
      <c r="C159" s="927">
        <f>IF(D96="","-",+C158+1)</f>
        <v>57</v>
      </c>
      <c r="D159" s="874">
        <f t="shared" si="7"/>
        <v>0</v>
      </c>
      <c r="E159" s="928">
        <f t="shared" si="5"/>
        <v>0</v>
      </c>
      <c r="F159" s="874">
        <f t="shared" si="6"/>
        <v>0</v>
      </c>
      <c r="G159" s="934">
        <f t="shared" si="2"/>
        <v>0</v>
      </c>
      <c r="H159" s="935">
        <f t="shared" si="3"/>
        <v>0</v>
      </c>
      <c r="I159" s="931">
        <f t="shared" si="4"/>
        <v>0</v>
      </c>
      <c r="J159" s="931"/>
      <c r="K159" s="955"/>
      <c r="L159" s="936"/>
      <c r="M159" s="955"/>
      <c r="N159" s="936"/>
      <c r="O159" s="936"/>
      <c r="P159" s="933"/>
    </row>
    <row r="160" spans="3:16" ht="12.75">
      <c r="C160" s="927">
        <f>IF(D96="","-",+C159+1)</f>
        <v>58</v>
      </c>
      <c r="D160" s="874">
        <f t="shared" si="7"/>
        <v>0</v>
      </c>
      <c r="E160" s="928">
        <f t="shared" si="5"/>
        <v>0</v>
      </c>
      <c r="F160" s="874">
        <f t="shared" si="6"/>
        <v>0</v>
      </c>
      <c r="G160" s="934">
        <f t="shared" si="2"/>
        <v>0</v>
      </c>
      <c r="H160" s="935">
        <f t="shared" si="3"/>
        <v>0</v>
      </c>
      <c r="I160" s="931">
        <f t="shared" si="4"/>
        <v>0</v>
      </c>
      <c r="J160" s="931"/>
      <c r="K160" s="955"/>
      <c r="L160" s="936"/>
      <c r="M160" s="955"/>
      <c r="N160" s="936"/>
      <c r="O160" s="936"/>
      <c r="P160" s="933"/>
    </row>
    <row r="161" spans="3:16" ht="13.5" thickBot="1">
      <c r="C161" s="938">
        <f>IF(D96="","-",+C160+1)</f>
        <v>59</v>
      </c>
      <c r="D161" s="939">
        <f t="shared" si="7"/>
        <v>0</v>
      </c>
      <c r="E161" s="940">
        <f t="shared" si="5"/>
        <v>0</v>
      </c>
      <c r="F161" s="939">
        <f t="shared" si="6"/>
        <v>0</v>
      </c>
      <c r="G161" s="941">
        <f t="shared" si="2"/>
        <v>0</v>
      </c>
      <c r="H161" s="941">
        <f t="shared" si="3"/>
        <v>0</v>
      </c>
      <c r="I161" s="942">
        <f t="shared" si="4"/>
        <v>0</v>
      </c>
      <c r="J161" s="931"/>
      <c r="K161" s="956"/>
      <c r="L161" s="943"/>
      <c r="M161" s="956"/>
      <c r="N161" s="943"/>
      <c r="O161" s="943"/>
      <c r="P161" s="933"/>
    </row>
    <row r="162" spans="3:16" ht="12.75">
      <c r="C162" s="874" t="s">
        <v>135</v>
      </c>
      <c r="D162" s="867"/>
      <c r="E162" s="867">
        <f>SUM(E102:E161)</f>
        <v>0</v>
      </c>
      <c r="F162" s="867"/>
      <c r="G162" s="867">
        <f>SUM(G102:G161)</f>
        <v>0</v>
      </c>
      <c r="H162" s="867">
        <f>SUM(H102:H161)</f>
        <v>0</v>
      </c>
      <c r="I162" s="867">
        <f>SUM(I102:I161)</f>
        <v>0</v>
      </c>
      <c r="J162" s="867"/>
      <c r="K162" s="867"/>
      <c r="L162" s="867"/>
      <c r="M162" s="867"/>
      <c r="N162" s="867"/>
      <c r="O162" s="468"/>
      <c r="P162" s="867"/>
    </row>
    <row r="163" spans="4:16" ht="12.75">
      <c r="D163" s="672"/>
      <c r="E163" s="468"/>
      <c r="F163" s="468"/>
      <c r="G163" s="468"/>
      <c r="H163" s="843"/>
      <c r="I163" s="843"/>
      <c r="J163" s="867"/>
      <c r="K163" s="843"/>
      <c r="L163" s="843"/>
      <c r="M163" s="843"/>
      <c r="N163" s="843"/>
      <c r="O163" s="468"/>
      <c r="P163" s="867"/>
    </row>
    <row r="164" spans="3:16" ht="12.75">
      <c r="C164" s="468" t="s">
        <v>68</v>
      </c>
      <c r="D164" s="672"/>
      <c r="E164" s="468"/>
      <c r="F164" s="468"/>
      <c r="G164" s="468"/>
      <c r="H164" s="843"/>
      <c r="I164" s="843"/>
      <c r="J164" s="867"/>
      <c r="K164" s="843"/>
      <c r="L164" s="843"/>
      <c r="M164" s="843"/>
      <c r="N164" s="843"/>
      <c r="O164" s="468"/>
      <c r="P164" s="867"/>
    </row>
    <row r="165" spans="3:16" ht="12.75">
      <c r="C165" s="468"/>
      <c r="D165" s="672"/>
      <c r="E165" s="468"/>
      <c r="F165" s="468"/>
      <c r="G165" s="468"/>
      <c r="H165" s="843"/>
      <c r="I165" s="843"/>
      <c r="J165" s="867"/>
      <c r="K165" s="843"/>
      <c r="L165" s="843"/>
      <c r="M165" s="843"/>
      <c r="N165" s="843"/>
      <c r="O165" s="468"/>
      <c r="P165" s="867"/>
    </row>
    <row r="166" spans="3:16" ht="12.75">
      <c r="C166" s="944" t="s">
        <v>69</v>
      </c>
      <c r="D166" s="874"/>
      <c r="E166" s="874"/>
      <c r="F166" s="874"/>
      <c r="G166" s="867"/>
      <c r="H166" s="867"/>
      <c r="I166" s="933"/>
      <c r="J166" s="933"/>
      <c r="K166" s="933"/>
      <c r="L166" s="933"/>
      <c r="M166" s="933"/>
      <c r="N166" s="933"/>
      <c r="O166" s="468"/>
      <c r="P166" s="933"/>
    </row>
    <row r="167" spans="3:16" ht="12.75">
      <c r="C167" s="873" t="s">
        <v>378</v>
      </c>
      <c r="D167" s="874"/>
      <c r="E167" s="874"/>
      <c r="F167" s="874"/>
      <c r="G167" s="867"/>
      <c r="H167" s="867"/>
      <c r="I167" s="933"/>
      <c r="J167" s="933"/>
      <c r="K167" s="933"/>
      <c r="L167" s="933"/>
      <c r="M167" s="933"/>
      <c r="N167" s="933"/>
      <c r="O167" s="468"/>
      <c r="P167" s="933"/>
    </row>
    <row r="168" spans="3:16" ht="12.75">
      <c r="C168" s="873" t="s">
        <v>136</v>
      </c>
      <c r="D168" s="874"/>
      <c r="E168" s="874"/>
      <c r="F168" s="874"/>
      <c r="G168" s="867"/>
      <c r="H168" s="867"/>
      <c r="I168" s="933"/>
      <c r="J168" s="933"/>
      <c r="K168" s="933"/>
      <c r="L168" s="933"/>
      <c r="M168" s="933"/>
      <c r="N168" s="933"/>
      <c r="O168" s="468"/>
      <c r="P168" s="933"/>
    </row>
    <row r="169" spans="3:16" ht="12.75">
      <c r="C169" s="873"/>
      <c r="D169" s="874"/>
      <c r="E169" s="874"/>
      <c r="F169" s="874"/>
      <c r="G169" s="867"/>
      <c r="H169" s="867"/>
      <c r="I169" s="933"/>
      <c r="J169" s="933"/>
      <c r="K169" s="933"/>
      <c r="L169" s="933"/>
      <c r="M169" s="933"/>
      <c r="N169" s="933"/>
      <c r="O169" s="468"/>
      <c r="P169" s="933"/>
    </row>
    <row r="170" spans="3:15" ht="12.75">
      <c r="C170" s="1283" t="s">
        <v>57</v>
      </c>
      <c r="D170" s="1283"/>
      <c r="E170" s="1283"/>
      <c r="F170" s="1283"/>
      <c r="G170" s="1283"/>
      <c r="H170" s="1283"/>
      <c r="I170" s="1283"/>
      <c r="J170" s="1283"/>
      <c r="K170" s="1283"/>
      <c r="L170" s="1283"/>
      <c r="M170" s="1283"/>
      <c r="N170" s="1283"/>
      <c r="O170" s="1283"/>
    </row>
    <row r="171" spans="3:15" ht="12.75">
      <c r="C171" s="1283"/>
      <c r="D171" s="1283"/>
      <c r="E171" s="1283"/>
      <c r="F171" s="1283"/>
      <c r="G171" s="1283"/>
      <c r="H171" s="1283"/>
      <c r="I171" s="1283"/>
      <c r="J171" s="1283"/>
      <c r="K171" s="1283"/>
      <c r="L171" s="1283"/>
      <c r="M171" s="1283"/>
      <c r="N171" s="1283"/>
      <c r="O171" s="1283"/>
    </row>
  </sheetData>
  <sheetProtection/>
  <mergeCells count="9">
    <mergeCell ref="A1:O1"/>
    <mergeCell ref="C9:H10"/>
    <mergeCell ref="A2:O2"/>
    <mergeCell ref="A3:O3"/>
    <mergeCell ref="A4:O4"/>
    <mergeCell ref="C170:O171"/>
    <mergeCell ref="K95:O95"/>
    <mergeCell ref="I78:O81"/>
    <mergeCell ref="K20:O21"/>
  </mergeCells>
  <conditionalFormatting sqref="C102:C161">
    <cfRule type="cellIs" priority="8" dxfId="2" operator="equal" stopIfTrue="1">
      <formula>$I$95</formula>
    </cfRule>
  </conditionalFormatting>
  <printOptions/>
  <pageMargins left="0.25" right="0.25" top="1" bottom="1" header="0.75" footer="0.5"/>
  <pageSetup fitToHeight="2" horizontalDpi="600" verticalDpi="600" orientation="landscape" scale="38" r:id="rId1"/>
  <headerFooter alignWithMargins="0">
    <oddHeader>&amp;R&amp;"Arial,Bold"Formula Rate 
&amp;A
Page &amp;P of &amp;N</oddHeader>
  </headerFooter>
  <rowBreaks count="1" manualBreakCount="1">
    <brk id="82" max="14" man="1"/>
  </rowBreaks>
</worksheet>
</file>

<file path=xl/worksheets/sheet14.xml><?xml version="1.0" encoding="utf-8"?>
<worksheet xmlns="http://schemas.openxmlformats.org/spreadsheetml/2006/main" xmlns:r="http://schemas.openxmlformats.org/officeDocument/2006/relationships">
  <sheetPr>
    <tabColor rgb="FFCCFFFF"/>
  </sheetPr>
  <dimension ref="A1:Q167"/>
  <sheetViews>
    <sheetView view="pageBreakPreview" zoomScale="60" zoomScaleNormal="70" zoomScalePageLayoutView="0" workbookViewId="0" topLeftCell="A28">
      <selection activeCell="H81" sqref="H81"/>
    </sheetView>
  </sheetViews>
  <sheetFormatPr defaultColWidth="8.8515625" defaultRowHeight="12.75"/>
  <cols>
    <col min="1" max="1" width="4.7109375" style="352" customWidth="1"/>
    <col min="2" max="2" width="6.7109375" style="548" customWidth="1"/>
    <col min="3" max="3" width="20.7109375" style="352" customWidth="1"/>
    <col min="4" max="4" width="17.7109375" style="426" customWidth="1"/>
    <col min="5" max="8" width="17.7109375" style="352" customWidth="1"/>
    <col min="9" max="9" width="17.7109375" style="786" customWidth="1"/>
    <col min="10" max="10" width="17.7109375" style="352" bestFit="1" customWidth="1"/>
    <col min="11" max="11" width="2.140625" style="343" customWidth="1"/>
    <col min="12" max="12" width="17.7109375" style="468" customWidth="1"/>
    <col min="13" max="13" width="36.421875" style="468" customWidth="1"/>
    <col min="14" max="14" width="17.7109375" style="468" customWidth="1"/>
    <col min="15" max="15" width="23.421875" style="468" customWidth="1"/>
    <col min="16" max="16" width="16.7109375" style="468" customWidth="1"/>
    <col min="17" max="17" width="2.140625" style="468" customWidth="1"/>
    <col min="18" max="16384" width="8.8515625" style="352" customWidth="1"/>
  </cols>
  <sheetData>
    <row r="1" spans="1:17" ht="15">
      <c r="A1" s="1247" t="str">
        <f>TCOS!$F$3</f>
        <v>AEPTCo subsidiaries in PJM</v>
      </c>
      <c r="B1" s="1247" t="str">
        <f>TCOS!$F$3</f>
        <v>AEPTCo subsidiaries in PJM</v>
      </c>
      <c r="C1" s="1247" t="str">
        <f>TCOS!$F$3</f>
        <v>AEPTCo subsidiaries in PJM</v>
      </c>
      <c r="D1" s="1247" t="str">
        <f>TCOS!$F$3</f>
        <v>AEPTCo subsidiaries in PJM</v>
      </c>
      <c r="E1" s="1247" t="str">
        <f>TCOS!$F$3</f>
        <v>AEPTCo subsidiaries in PJM</v>
      </c>
      <c r="F1" s="1247" t="str">
        <f>TCOS!$F$3</f>
        <v>AEPTCo subsidiaries in PJM</v>
      </c>
      <c r="G1" s="1247" t="str">
        <f>TCOS!$F$3</f>
        <v>AEPTCo subsidiaries in PJM</v>
      </c>
      <c r="H1" s="1247" t="str">
        <f>TCOS!$F$3</f>
        <v>AEPTCo subsidiaries in PJM</v>
      </c>
      <c r="I1" s="1247" t="str">
        <f>TCOS!$F$3</f>
        <v>AEPTCo subsidiaries in PJM</v>
      </c>
      <c r="J1" s="1247" t="str">
        <f>TCOS!$F$3</f>
        <v>AEPTCo subsidiaries in PJM</v>
      </c>
      <c r="K1" s="1247" t="str">
        <f>TCOS!$F$3</f>
        <v>AEPTCo subsidiaries in PJM</v>
      </c>
      <c r="L1" s="1247" t="str">
        <f>TCOS!$F$3</f>
        <v>AEPTCo subsidiaries in PJM</v>
      </c>
      <c r="M1" s="1247" t="str">
        <f>TCOS!$F$3</f>
        <v>AEPTCo subsidiaries in PJM</v>
      </c>
      <c r="N1" s="1247" t="str">
        <f>TCOS!$F$3</f>
        <v>AEPTCo subsidiaries in PJM</v>
      </c>
      <c r="O1" s="1247" t="str">
        <f>TCOS!$F$3</f>
        <v>AEPTCo subsidiaries in PJM</v>
      </c>
      <c r="P1" s="1247" t="str">
        <f>TCOS!$F$3</f>
        <v>AEPTCo subsidiaries in PJM</v>
      </c>
      <c r="Q1" s="584"/>
    </row>
    <row r="2" spans="1:17" ht="15">
      <c r="A2" s="1246" t="str">
        <f>"Cost of Service Formula Rate Using Actual/Projected FF1 Balances"</f>
        <v>Cost of Service Formula Rate Using Actual/Projected FF1 Balances</v>
      </c>
      <c r="B2" s="1246"/>
      <c r="C2" s="1246"/>
      <c r="D2" s="1246"/>
      <c r="E2" s="1246"/>
      <c r="F2" s="1246"/>
      <c r="G2" s="1246"/>
      <c r="H2" s="1246"/>
      <c r="I2" s="1246"/>
      <c r="J2" s="1246"/>
      <c r="K2" s="1246"/>
      <c r="L2" s="1246"/>
      <c r="M2" s="1246"/>
      <c r="N2" s="1246"/>
      <c r="O2" s="1246"/>
      <c r="P2" s="1246"/>
      <c r="Q2" s="584"/>
    </row>
    <row r="3" spans="1:17" ht="15.75">
      <c r="A3" s="1282" t="s">
        <v>359</v>
      </c>
      <c r="B3" s="1282"/>
      <c r="C3" s="1282"/>
      <c r="D3" s="1282"/>
      <c r="E3" s="1282"/>
      <c r="F3" s="1282"/>
      <c r="G3" s="1282"/>
      <c r="H3" s="1282"/>
      <c r="I3" s="1282"/>
      <c r="J3" s="1282"/>
      <c r="K3" s="1282"/>
      <c r="L3" s="1282"/>
      <c r="M3" s="1282"/>
      <c r="N3" s="1282"/>
      <c r="O3" s="1282"/>
      <c r="P3" s="1282"/>
      <c r="Q3" s="584"/>
    </row>
    <row r="4" spans="1:17" ht="15">
      <c r="A4" s="1265" t="str">
        <f>+'WS A  - RB Support '!A4:F4</f>
        <v>AEP APPALACHIAN TRANSMISSION COMPANY</v>
      </c>
      <c r="B4" s="1265"/>
      <c r="C4" s="1265"/>
      <c r="D4" s="1265"/>
      <c r="E4" s="1265"/>
      <c r="F4" s="1265"/>
      <c r="G4" s="1265"/>
      <c r="H4" s="1265"/>
      <c r="I4" s="1265"/>
      <c r="J4" s="1265"/>
      <c r="K4" s="1265"/>
      <c r="L4" s="1265"/>
      <c r="M4" s="1265"/>
      <c r="N4" s="1265"/>
      <c r="O4" s="1265"/>
      <c r="P4" s="1265"/>
      <c r="Q4" s="584"/>
    </row>
    <row r="5" ht="12.75">
      <c r="Q5" s="584"/>
    </row>
    <row r="6" spans="1:17" ht="20.25">
      <c r="A6" s="787"/>
      <c r="C6" s="548"/>
      <c r="O6" s="788" t="str">
        <f>"Page "&amp;Q6&amp;" of "</f>
        <v>Page 1 of </v>
      </c>
      <c r="P6" s="789">
        <f>COUNT(Q$6:Q$59090)</f>
        <v>2</v>
      </c>
      <c r="Q6" s="790">
        <v>1</v>
      </c>
    </row>
    <row r="7" spans="3:17" ht="18">
      <c r="C7" s="791"/>
      <c r="Q7" s="584"/>
    </row>
    <row r="8" ht="12.75">
      <c r="Q8" s="584"/>
    </row>
    <row r="9" spans="2:17" ht="18">
      <c r="B9" s="792" t="s">
        <v>692</v>
      </c>
      <c r="C9" s="1280" t="str">
        <f>"Calculate Return and Income Taxes with "&amp;F15&amp;" basis point ROE increase for Projects Qualified for Regional Billing."</f>
        <v>Calculate Return and Income Taxes with 0 basis point ROE increase for Projects Qualified for Regional Billing.</v>
      </c>
      <c r="D9" s="1281"/>
      <c r="E9" s="1281"/>
      <c r="F9" s="1281"/>
      <c r="G9" s="1281"/>
      <c r="H9" s="1281"/>
      <c r="I9" s="1281"/>
      <c r="Q9" s="584"/>
    </row>
    <row r="10" spans="3:17" ht="18.75" customHeight="1">
      <c r="C10" s="1281"/>
      <c r="D10" s="1281"/>
      <c r="E10" s="1281"/>
      <c r="F10" s="1281"/>
      <c r="G10" s="1281"/>
      <c r="H10" s="1281"/>
      <c r="I10" s="1281"/>
      <c r="Q10" s="584"/>
    </row>
    <row r="11" spans="3:17" ht="15.75" customHeight="1">
      <c r="C11" s="793"/>
      <c r="D11" s="793"/>
      <c r="E11" s="793"/>
      <c r="F11" s="793"/>
      <c r="G11" s="793"/>
      <c r="H11" s="793"/>
      <c r="I11" s="793"/>
      <c r="Q11" s="584"/>
    </row>
    <row r="12" spans="3:17" ht="15.75">
      <c r="C12" s="794" t="str">
        <f>"A.   Determine 'R' with hypothetical "&amp;F15&amp;" basis point increase in ROE for Identified Projects"</f>
        <v>A.   Determine 'R' with hypothetical 0 basis point increase in ROE for Identified Projects</v>
      </c>
      <c r="D12" s="377"/>
      <c r="Q12" s="584"/>
    </row>
    <row r="13" spans="3:17" ht="12.75">
      <c r="C13" s="339"/>
      <c r="D13" s="377"/>
      <c r="Q13" s="584"/>
    </row>
    <row r="14" spans="3:17" ht="12.75">
      <c r="C14" s="795" t="str">
        <f>"   ROE w/o incentives  (TCOS, ln "&amp;TCOS!B260&amp;")"</f>
        <v>   ROE w/o incentives  (TCOS, ln 166)</v>
      </c>
      <c r="D14" s="377"/>
      <c r="E14" s="796"/>
      <c r="F14" s="958">
        <f>TCOS!J260</f>
        <v>0.1149</v>
      </c>
      <c r="G14" s="958"/>
      <c r="H14" s="796"/>
      <c r="I14" s="798"/>
      <c r="J14" s="798"/>
      <c r="K14" s="799"/>
      <c r="L14" s="798"/>
      <c r="M14" s="798"/>
      <c r="N14" s="798"/>
      <c r="O14" s="798"/>
      <c r="P14" s="798"/>
      <c r="Q14" s="799"/>
    </row>
    <row r="15" spans="3:17" ht="13.5" thickBot="1">
      <c r="C15" s="795" t="s">
        <v>94</v>
      </c>
      <c r="D15" s="377"/>
      <c r="E15" s="796"/>
      <c r="F15" s="945">
        <v>0</v>
      </c>
      <c r="G15" s="796"/>
      <c r="H15" s="796"/>
      <c r="I15" s="798"/>
      <c r="J15" s="798"/>
      <c r="K15" s="799"/>
      <c r="L15" s="798"/>
      <c r="M15" s="798"/>
      <c r="N15" s="798"/>
      <c r="O15" s="798"/>
      <c r="P15" s="798"/>
      <c r="Q15" s="799"/>
    </row>
    <row r="16" spans="3:17" ht="12.75">
      <c r="C16" s="795" t="str">
        <f>"   ROE with additional "&amp;F15&amp;" basis point incentive"</f>
        <v>   ROE with additional 0 basis point incentive</v>
      </c>
      <c r="D16" s="796"/>
      <c r="E16" s="796"/>
      <c r="F16" s="801">
        <f>IF((F14+(F15/10000)&gt;0.125),"ERROR",F14+(F15/10000))</f>
        <v>0.1149</v>
      </c>
      <c r="G16" s="802"/>
      <c r="H16" s="796"/>
      <c r="I16" s="798"/>
      <c r="J16" s="798"/>
      <c r="K16" s="799"/>
      <c r="L16" s="959" t="s">
        <v>946</v>
      </c>
      <c r="M16" s="960"/>
      <c r="N16" s="960"/>
      <c r="O16" s="960"/>
      <c r="P16" s="961"/>
      <c r="Q16" s="799"/>
    </row>
    <row r="17" spans="3:17" ht="12.75">
      <c r="C17" s="795" t="str">
        <f>"   Determine R  ( cost of long term debt, cost of preferred stock and equity percentage is from the True-Up TCOS, lns "&amp;TCOS!B258&amp;" through "&amp;TCOS!B260&amp;")"</f>
        <v>   Determine R  ( cost of long term debt, cost of preferred stock and equity percentage is from the True-Up TCOS, lns 164 through 166)</v>
      </c>
      <c r="D17" s="377"/>
      <c r="E17" s="796"/>
      <c r="F17" s="803"/>
      <c r="G17" s="803"/>
      <c r="H17" s="796"/>
      <c r="I17" s="798"/>
      <c r="J17" s="798"/>
      <c r="K17" s="799"/>
      <c r="L17" s="962"/>
      <c r="M17" s="799"/>
      <c r="N17" s="799" t="s">
        <v>96</v>
      </c>
      <c r="O17" s="799" t="s">
        <v>97</v>
      </c>
      <c r="P17" s="963" t="s">
        <v>98</v>
      </c>
      <c r="Q17" s="799"/>
    </row>
    <row r="18" spans="3:17" ht="12.75">
      <c r="C18" s="799"/>
      <c r="D18" s="804" t="s">
        <v>667</v>
      </c>
      <c r="E18" s="804" t="s">
        <v>666</v>
      </c>
      <c r="F18" s="805" t="s">
        <v>95</v>
      </c>
      <c r="G18" s="805"/>
      <c r="H18" s="796"/>
      <c r="I18" s="798"/>
      <c r="J18" s="798"/>
      <c r="K18" s="799"/>
      <c r="L18" s="962" t="s">
        <v>334</v>
      </c>
      <c r="M18" s="964" t="str">
        <f>+TCOS!O1</f>
        <v> </v>
      </c>
      <c r="N18" s="584"/>
      <c r="O18" s="584"/>
      <c r="P18" s="965"/>
      <c r="Q18" s="799"/>
    </row>
    <row r="19" spans="3:17" ht="12.75">
      <c r="C19" s="806" t="s">
        <v>99</v>
      </c>
      <c r="D19" s="966">
        <f>TCOS!H258</f>
        <v>0.5187626222413029</v>
      </c>
      <c r="E19" s="808">
        <f>TCOS!J258</f>
        <v>0.0125</v>
      </c>
      <c r="F19" s="809">
        <f>E19*D19</f>
        <v>0.006484532778016286</v>
      </c>
      <c r="G19" s="809"/>
      <c r="H19" s="796"/>
      <c r="I19" s="798"/>
      <c r="J19" s="810"/>
      <c r="K19" s="811"/>
      <c r="L19" s="967"/>
      <c r="M19" s="902" t="s">
        <v>335</v>
      </c>
      <c r="N19" s="1170">
        <f>M89</f>
        <v>0</v>
      </c>
      <c r="O19" s="1170">
        <f>N89</f>
        <v>0</v>
      </c>
      <c r="P19" s="968">
        <f>+O19-N19</f>
        <v>0</v>
      </c>
      <c r="Q19" s="811"/>
    </row>
    <row r="20" spans="3:17" ht="13.5" thickBot="1">
      <c r="C20" s="806" t="s">
        <v>100</v>
      </c>
      <c r="D20" s="966">
        <f>TCOS!H259</f>
        <v>0</v>
      </c>
      <c r="E20" s="808">
        <f>TCOS!J259</f>
        <v>0</v>
      </c>
      <c r="F20" s="809">
        <f>E20*D20</f>
        <v>0</v>
      </c>
      <c r="G20" s="809"/>
      <c r="H20" s="812"/>
      <c r="I20" s="812"/>
      <c r="J20" s="813"/>
      <c r="K20" s="814"/>
      <c r="L20" s="967"/>
      <c r="M20" s="902" t="s">
        <v>957</v>
      </c>
      <c r="N20" s="1171">
        <f>M90</f>
        <v>0</v>
      </c>
      <c r="O20" s="1171">
        <f>N90</f>
        <v>0</v>
      </c>
      <c r="P20" s="969">
        <f>+O20-N20</f>
        <v>0</v>
      </c>
      <c r="Q20" s="814"/>
    </row>
    <row r="21" spans="3:17" ht="12.75">
      <c r="C21" s="815" t="s">
        <v>85</v>
      </c>
      <c r="D21" s="966">
        <f>TCOS!H260</f>
        <v>0.48123737775869707</v>
      </c>
      <c r="E21" s="808">
        <f>+F16</f>
        <v>0.1149</v>
      </c>
      <c r="F21" s="816">
        <f>E21*D21</f>
        <v>0.05529417470447429</v>
      </c>
      <c r="G21" s="816"/>
      <c r="H21" s="812"/>
      <c r="I21" s="812"/>
      <c r="J21" s="813"/>
      <c r="K21" s="814"/>
      <c r="L21" s="967"/>
      <c r="M21" s="902" t="str">
        <f>"True-up of ARR For "&amp;TCOS!L2&amp;""</f>
        <v>True-up of ARR For 2017</v>
      </c>
      <c r="N21" s="874">
        <f>+N20-N19</f>
        <v>0</v>
      </c>
      <c r="O21" s="874">
        <f>+O20-O19</f>
        <v>0</v>
      </c>
      <c r="P21" s="970">
        <f>+P20-P19</f>
        <v>0</v>
      </c>
      <c r="Q21" s="814"/>
    </row>
    <row r="22" spans="3:17" ht="12.75">
      <c r="C22" s="795"/>
      <c r="D22" s="352"/>
      <c r="E22" s="817" t="s">
        <v>101</v>
      </c>
      <c r="F22" s="809">
        <f>SUM(F19:F21)</f>
        <v>0.06177870748249058</v>
      </c>
      <c r="G22" s="809"/>
      <c r="H22" s="812"/>
      <c r="I22" s="812"/>
      <c r="J22" s="813"/>
      <c r="K22" s="814"/>
      <c r="L22" s="967"/>
      <c r="M22" s="584"/>
      <c r="N22" s="584"/>
      <c r="O22" s="584"/>
      <c r="P22" s="965"/>
      <c r="Q22" s="814"/>
    </row>
    <row r="23" spans="3:17" ht="13.5" thickBot="1">
      <c r="C23" s="339"/>
      <c r="D23" s="822"/>
      <c r="E23" s="822"/>
      <c r="F23" s="812"/>
      <c r="G23" s="812"/>
      <c r="H23" s="812"/>
      <c r="I23" s="812"/>
      <c r="J23" s="812"/>
      <c r="K23" s="823"/>
      <c r="L23" s="971"/>
      <c r="M23" s="972"/>
      <c r="N23" s="973"/>
      <c r="O23" s="973"/>
      <c r="P23" s="969"/>
      <c r="Q23" s="823"/>
    </row>
    <row r="24" spans="3:17" ht="15.75">
      <c r="C24" s="794" t="str">
        <f>"B.   Determine Return using 'R' with hypothetical "&amp;F15&amp;" basis point ROE increase for Identified Projects."</f>
        <v>B.   Determine Return using 'R' with hypothetical 0 basis point ROE increase for Identified Projects.</v>
      </c>
      <c r="D24" s="822"/>
      <c r="E24" s="822"/>
      <c r="F24" s="827"/>
      <c r="G24" s="827"/>
      <c r="H24" s="812"/>
      <c r="I24" s="796"/>
      <c r="J24" s="812"/>
      <c r="K24" s="823"/>
      <c r="L24" s="812"/>
      <c r="M24" s="812"/>
      <c r="N24" s="812"/>
      <c r="O24" s="812"/>
      <c r="P24" s="812"/>
      <c r="Q24" s="823"/>
    </row>
    <row r="25" spans="3:17" ht="12.75">
      <c r="C25" s="799"/>
      <c r="D25" s="822"/>
      <c r="E25" s="822"/>
      <c r="F25" s="823"/>
      <c r="G25" s="823"/>
      <c r="H25" s="823"/>
      <c r="I25" s="823"/>
      <c r="J25" s="823"/>
      <c r="K25" s="823"/>
      <c r="L25" s="823"/>
      <c r="M25" s="823"/>
      <c r="N25" s="823"/>
      <c r="O25" s="823"/>
      <c r="P25" s="823"/>
      <c r="Q25" s="823"/>
    </row>
    <row r="26" spans="3:17" ht="12.75">
      <c r="C26" s="795" t="str">
        <f>"   Rate Base  (True-Up TCOS, ln "&amp;TCOS!B130&amp;")"</f>
        <v>   Rate Base  (True-Up TCOS, ln 79)</v>
      </c>
      <c r="D26" s="796"/>
      <c r="E26" s="833">
        <f>TCOS!L130</f>
        <v>73223.9264298778</v>
      </c>
      <c r="F26" s="974"/>
      <c r="G26" s="974"/>
      <c r="H26" s="823"/>
      <c r="I26" s="823"/>
      <c r="J26" s="823"/>
      <c r="K26" s="823"/>
      <c r="L26" s="823"/>
      <c r="M26" s="823"/>
      <c r="N26" s="823"/>
      <c r="O26" s="823"/>
      <c r="P26" s="974"/>
      <c r="Q26" s="823"/>
    </row>
    <row r="27" spans="3:17" ht="12.75">
      <c r="C27" s="799" t="s">
        <v>103</v>
      </c>
      <c r="D27" s="835"/>
      <c r="E27" s="809">
        <f>F22</f>
        <v>0.06177870748249058</v>
      </c>
      <c r="F27" s="823"/>
      <c r="G27" s="823"/>
      <c r="H27" s="823"/>
      <c r="I27" s="823"/>
      <c r="J27" s="823"/>
      <c r="K27" s="823"/>
      <c r="L27" s="823"/>
      <c r="M27" s="823"/>
      <c r="N27" s="823"/>
      <c r="O27" s="823"/>
      <c r="P27" s="823"/>
      <c r="Q27" s="823"/>
    </row>
    <row r="28" spans="3:17" ht="12.75">
      <c r="C28" s="836" t="s">
        <v>104</v>
      </c>
      <c r="D28" s="836"/>
      <c r="E28" s="813">
        <f>E26*E27</f>
        <v>4523.679531630831</v>
      </c>
      <c r="F28" s="823"/>
      <c r="G28" s="823"/>
      <c r="H28" s="823"/>
      <c r="I28" s="823"/>
      <c r="J28" s="814"/>
      <c r="K28" s="814"/>
      <c r="L28" s="814"/>
      <c r="M28" s="814"/>
      <c r="N28" s="814"/>
      <c r="O28" s="814"/>
      <c r="P28" s="823"/>
      <c r="Q28" s="814"/>
    </row>
    <row r="29" spans="3:17" ht="12.75">
      <c r="C29" s="837"/>
      <c r="D29" s="798"/>
      <c r="E29" s="798"/>
      <c r="F29" s="823"/>
      <c r="G29" s="823"/>
      <c r="H29" s="823"/>
      <c r="I29" s="823"/>
      <c r="J29" s="814"/>
      <c r="K29" s="814"/>
      <c r="L29" s="814"/>
      <c r="M29" s="814"/>
      <c r="N29" s="814"/>
      <c r="O29" s="814"/>
      <c r="P29" s="823"/>
      <c r="Q29" s="814"/>
    </row>
    <row r="30" spans="3:17" ht="15.75">
      <c r="C30" s="794" t="str">
        <f>"C.   Determine Income Taxes using Return with hypothetical "&amp;F15&amp;" basis point ROE increase for Identified Projects."</f>
        <v>C.   Determine Income Taxes using Return with hypothetical 0 basis point ROE increase for Identified Projects.</v>
      </c>
      <c r="D30" s="838"/>
      <c r="E30" s="838"/>
      <c r="F30" s="839"/>
      <c r="G30" s="839"/>
      <c r="H30" s="839"/>
      <c r="I30" s="839"/>
      <c r="J30" s="840"/>
      <c r="K30" s="840"/>
      <c r="L30" s="840"/>
      <c r="M30" s="840"/>
      <c r="N30" s="840"/>
      <c r="O30" s="840"/>
      <c r="P30" s="839"/>
      <c r="Q30" s="840"/>
    </row>
    <row r="31" spans="3:17" ht="12.75">
      <c r="C31" s="795"/>
      <c r="D31" s="798"/>
      <c r="E31" s="798"/>
      <c r="F31" s="823"/>
      <c r="G31" s="823"/>
      <c r="H31" s="823"/>
      <c r="I31" s="823"/>
      <c r="J31" s="814"/>
      <c r="K31" s="814"/>
      <c r="L31" s="814"/>
      <c r="M31" s="814"/>
      <c r="N31" s="814"/>
      <c r="O31" s="814"/>
      <c r="P31" s="823"/>
      <c r="Q31" s="814"/>
    </row>
    <row r="32" spans="3:17" ht="12.75">
      <c r="C32" s="799" t="s">
        <v>105</v>
      </c>
      <c r="D32" s="817"/>
      <c r="E32" s="841">
        <f>E28</f>
        <v>4523.679531630831</v>
      </c>
      <c r="F32" s="823"/>
      <c r="G32" s="823"/>
      <c r="H32" s="823"/>
      <c r="I32" s="823"/>
      <c r="J32" s="823"/>
      <c r="K32" s="823"/>
      <c r="L32" s="823"/>
      <c r="M32" s="823"/>
      <c r="N32" s="823"/>
      <c r="O32" s="823"/>
      <c r="P32" s="823"/>
      <c r="Q32" s="823"/>
    </row>
    <row r="33" spans="3:17" ht="12.75">
      <c r="C33" s="795" t="str">
        <f>"   Effective Tax Rate  (TCOS, ln "&amp;TCOS!B195&amp;")"</f>
        <v>   Effective Tax Rate  (TCOS, ln 125)</v>
      </c>
      <c r="D33" s="672"/>
      <c r="E33" s="842">
        <f>TCOS!G195</f>
        <v>0.5698347807895298</v>
      </c>
      <c r="F33" s="468"/>
      <c r="G33" s="468"/>
      <c r="H33" s="468"/>
      <c r="I33" s="843"/>
      <c r="J33" s="468"/>
      <c r="K33" s="584"/>
      <c r="Q33" s="584"/>
    </row>
    <row r="34" spans="3:17" ht="12.75">
      <c r="C34" s="837" t="s">
        <v>106</v>
      </c>
      <c r="D34" s="672"/>
      <c r="E34" s="844">
        <f>E32*E33</f>
        <v>2577.749934268937</v>
      </c>
      <c r="F34" s="468"/>
      <c r="G34" s="468"/>
      <c r="H34" s="468"/>
      <c r="I34" s="843"/>
      <c r="J34" s="468"/>
      <c r="K34" s="584"/>
      <c r="Q34" s="584"/>
    </row>
    <row r="35" spans="3:17" ht="15">
      <c r="C35" s="795" t="s">
        <v>149</v>
      </c>
      <c r="D35" s="481"/>
      <c r="E35" s="845">
        <f>TCOS!L203</f>
        <v>0</v>
      </c>
      <c r="F35" s="481"/>
      <c r="G35" s="481"/>
      <c r="H35" s="481"/>
      <c r="I35" s="481"/>
      <c r="J35" s="481"/>
      <c r="K35" s="481"/>
      <c r="L35" s="481"/>
      <c r="M35" s="481"/>
      <c r="N35" s="481"/>
      <c r="O35" s="481"/>
      <c r="P35" s="388"/>
      <c r="Q35" s="481"/>
    </row>
    <row r="36" spans="3:17" ht="15">
      <c r="C36" s="795" t="s">
        <v>841</v>
      </c>
      <c r="D36" s="481"/>
      <c r="E36" s="845">
        <f>TCOS!L204</f>
        <v>0</v>
      </c>
      <c r="F36" s="481"/>
      <c r="G36" s="481"/>
      <c r="H36" s="481"/>
      <c r="I36" s="481"/>
      <c r="J36" s="481"/>
      <c r="K36" s="481"/>
      <c r="L36" s="481"/>
      <c r="M36" s="481"/>
      <c r="N36" s="481"/>
      <c r="O36" s="481"/>
      <c r="P36" s="388"/>
      <c r="Q36" s="481"/>
    </row>
    <row r="37" spans="3:17" ht="15">
      <c r="C37" s="795" t="s">
        <v>845</v>
      </c>
      <c r="D37" s="481"/>
      <c r="E37" s="845">
        <f>TCOS!L205</f>
        <v>0</v>
      </c>
      <c r="F37" s="481"/>
      <c r="G37" s="481"/>
      <c r="H37" s="481"/>
      <c r="I37" s="481"/>
      <c r="J37" s="481"/>
      <c r="K37" s="481"/>
      <c r="L37" s="481"/>
      <c r="M37" s="481"/>
      <c r="N37" s="481"/>
      <c r="O37" s="481"/>
      <c r="P37" s="388"/>
      <c r="Q37" s="481"/>
    </row>
    <row r="38" spans="3:17" ht="15">
      <c r="C38" s="837" t="s">
        <v>107</v>
      </c>
      <c r="D38" s="481"/>
      <c r="E38" s="845">
        <f>E34+E35+E36+E37</f>
        <v>2577.749934268937</v>
      </c>
      <c r="F38" s="481"/>
      <c r="G38" s="481"/>
      <c r="H38" s="481"/>
      <c r="I38" s="481"/>
      <c r="J38" s="481"/>
      <c r="K38" s="481"/>
      <c r="L38" s="481"/>
      <c r="M38" s="481"/>
      <c r="N38" s="481"/>
      <c r="O38" s="481"/>
      <c r="P38" s="362"/>
      <c r="Q38" s="481"/>
    </row>
    <row r="39" spans="3:17" ht="12.75" customHeight="1">
      <c r="C39" s="396"/>
      <c r="D39" s="481"/>
      <c r="E39" s="481"/>
      <c r="F39" s="481"/>
      <c r="G39" s="481"/>
      <c r="H39" s="481"/>
      <c r="I39" s="481"/>
      <c r="J39" s="481"/>
      <c r="K39" s="481"/>
      <c r="L39" s="481"/>
      <c r="M39" s="481"/>
      <c r="N39" s="481"/>
      <c r="O39" s="481"/>
      <c r="P39" s="362"/>
      <c r="Q39" s="481"/>
    </row>
    <row r="40" spans="2:17" ht="18.75">
      <c r="B40" s="792" t="s">
        <v>693</v>
      </c>
      <c r="C40" s="791" t="str">
        <f>"Calculate Net Plant Carrying Charge Rate (Fixed Charge Rate or FCR) with hypothetical "&amp;F15&amp;""</f>
        <v>Calculate Net Plant Carrying Charge Rate (Fixed Charge Rate or FCR) with hypothetical 0</v>
      </c>
      <c r="D40" s="481"/>
      <c r="E40" s="481"/>
      <c r="F40" s="481"/>
      <c r="G40" s="481"/>
      <c r="H40" s="481"/>
      <c r="I40" s="481"/>
      <c r="J40" s="481"/>
      <c r="K40" s="481"/>
      <c r="L40" s="481"/>
      <c r="M40" s="481"/>
      <c r="N40" s="481"/>
      <c r="O40" s="481"/>
      <c r="P40" s="362"/>
      <c r="Q40" s="481"/>
    </row>
    <row r="41" spans="3:17" ht="18.75" customHeight="1">
      <c r="C41" s="791" t="str">
        <f>"basis point ROE increase."</f>
        <v>basis point ROE increase.</v>
      </c>
      <c r="D41" s="481"/>
      <c r="E41" s="481"/>
      <c r="F41" s="481"/>
      <c r="G41" s="481"/>
      <c r="H41" s="481"/>
      <c r="I41" s="481"/>
      <c r="J41" s="481"/>
      <c r="K41" s="481"/>
      <c r="L41" s="481"/>
      <c r="M41" s="481"/>
      <c r="N41" s="481"/>
      <c r="O41" s="481"/>
      <c r="P41" s="362"/>
      <c r="Q41" s="481"/>
    </row>
    <row r="42" spans="3:17" ht="12.75" customHeight="1">
      <c r="C42" s="791"/>
      <c r="D42" s="481"/>
      <c r="E42" s="481"/>
      <c r="F42" s="481"/>
      <c r="G42" s="481"/>
      <c r="H42" s="481"/>
      <c r="I42" s="481"/>
      <c r="J42" s="481"/>
      <c r="K42" s="481"/>
      <c r="L42" s="481"/>
      <c r="M42" s="481"/>
      <c r="N42" s="481"/>
      <c r="O42" s="481"/>
      <c r="P42" s="362"/>
      <c r="Q42" s="481"/>
    </row>
    <row r="43" spans="3:17" ht="15.75">
      <c r="C43" s="794" t="s">
        <v>355</v>
      </c>
      <c r="D43" s="481"/>
      <c r="E43" s="481"/>
      <c r="F43" s="480"/>
      <c r="G43" s="480"/>
      <c r="H43" s="481"/>
      <c r="I43" s="481"/>
      <c r="J43" s="481"/>
      <c r="K43" s="481"/>
      <c r="L43" s="481"/>
      <c r="M43" s="481"/>
      <c r="N43" s="481"/>
      <c r="O43" s="481"/>
      <c r="P43" s="362"/>
      <c r="Q43" s="481"/>
    </row>
    <row r="44" spans="2:17" ht="12.75">
      <c r="B44" s="502"/>
      <c r="C44" s="846"/>
      <c r="D44" s="847"/>
      <c r="E44" s="847"/>
      <c r="F44" s="847"/>
      <c r="G44" s="847"/>
      <c r="H44" s="847"/>
      <c r="I44" s="847"/>
      <c r="J44" s="847"/>
      <c r="K44" s="847"/>
      <c r="L44" s="847"/>
      <c r="M44" s="847"/>
      <c r="N44" s="847"/>
      <c r="O44" s="847"/>
      <c r="P44" s="845"/>
      <c r="Q44" s="847"/>
    </row>
    <row r="45" spans="2:17" ht="12.75" customHeight="1">
      <c r="B45" s="502"/>
      <c r="C45" s="795" t="str">
        <f>"   Annual Revenue Requirement  (TCOS, ln "&amp;TCOS!B11&amp;")"</f>
        <v>   Annual Revenue Requirement  (TCOS, ln 1)</v>
      </c>
      <c r="D45" s="847"/>
      <c r="E45" s="847"/>
      <c r="F45" s="845">
        <f>TCOS!L11</f>
        <v>98422.5131624638</v>
      </c>
      <c r="G45" s="845"/>
      <c r="H45" s="975" t="s">
        <v>637</v>
      </c>
      <c r="I45" s="847"/>
      <c r="J45" s="847"/>
      <c r="K45" s="847"/>
      <c r="L45" s="847"/>
      <c r="M45" s="847"/>
      <c r="N45" s="847"/>
      <c r="O45" s="847"/>
      <c r="P45" s="845"/>
      <c r="Q45" s="847"/>
    </row>
    <row r="46" spans="2:17" ht="12.75" customHeight="1">
      <c r="B46" s="502"/>
      <c r="C46" s="848" t="str">
        <f>"   Lease Payments (TCOS, Lns "&amp;TCOS!B171&amp;")"</f>
        <v>   Lease Payments (TCOS, Lns 104)</v>
      </c>
      <c r="D46" s="847"/>
      <c r="E46" s="847"/>
      <c r="F46" s="845">
        <f>TCOS!L171</f>
        <v>0</v>
      </c>
      <c r="G46" s="845"/>
      <c r="H46" s="975"/>
      <c r="I46" s="847"/>
      <c r="J46" s="847"/>
      <c r="K46" s="847"/>
      <c r="L46" s="847"/>
      <c r="M46" s="847"/>
      <c r="N46" s="847"/>
      <c r="O46" s="847"/>
      <c r="P46" s="845"/>
      <c r="Q46" s="847"/>
    </row>
    <row r="47" spans="2:17" ht="12.75">
      <c r="B47" s="502"/>
      <c r="C47" s="795" t="str">
        <f>"   Return  (TCOS, ln "&amp;TCOS!B208&amp;")"</f>
        <v>   Return  (TCOS, ln 137)</v>
      </c>
      <c r="D47" s="847"/>
      <c r="E47" s="847"/>
      <c r="F47" s="849">
        <f>TCOS!L208</f>
        <v>4523.679531630831</v>
      </c>
      <c r="G47" s="849"/>
      <c r="H47" s="850"/>
      <c r="I47" s="850"/>
      <c r="J47" s="850"/>
      <c r="K47" s="850"/>
      <c r="L47" s="850"/>
      <c r="M47" s="850"/>
      <c r="N47" s="850"/>
      <c r="O47" s="850"/>
      <c r="P47" s="845"/>
      <c r="Q47" s="850"/>
    </row>
    <row r="48" spans="2:17" ht="12.75">
      <c r="B48" s="502"/>
      <c r="C48" s="795" t="str">
        <f>"   Income Taxes  (TCOS, ln "&amp;TCOS!B206&amp;")"</f>
        <v>   Income Taxes  (TCOS, ln 136)</v>
      </c>
      <c r="D48" s="847"/>
      <c r="E48" s="847"/>
      <c r="F48" s="976">
        <f>TCOS!L206</f>
        <v>2577.749934268937</v>
      </c>
      <c r="G48" s="851"/>
      <c r="H48" s="847"/>
      <c r="I48" s="847"/>
      <c r="J48" s="852"/>
      <c r="K48" s="852"/>
      <c r="L48" s="852"/>
      <c r="M48" s="852"/>
      <c r="N48" s="852"/>
      <c r="O48" s="852"/>
      <c r="P48" s="847"/>
      <c r="Q48" s="852"/>
    </row>
    <row r="49" spans="2:17" ht="12.75">
      <c r="B49" s="502"/>
      <c r="C49" s="1292" t="s">
        <v>928</v>
      </c>
      <c r="D49" s="1293"/>
      <c r="E49" s="847"/>
      <c r="F49" s="849">
        <f>F45-F47-F48-F46</f>
        <v>91321.08369656403</v>
      </c>
      <c r="G49" s="849"/>
      <c r="H49" s="854"/>
      <c r="I49" s="847"/>
      <c r="J49" s="854"/>
      <c r="K49" s="854"/>
      <c r="L49" s="854"/>
      <c r="M49" s="854"/>
      <c r="N49" s="854"/>
      <c r="O49" s="854"/>
      <c r="P49" s="854"/>
      <c r="Q49" s="854"/>
    </row>
    <row r="50" spans="2:17" ht="12.75">
      <c r="B50" s="502"/>
      <c r="C50" s="1293"/>
      <c r="D50" s="1293"/>
      <c r="E50" s="847"/>
      <c r="F50" s="845"/>
      <c r="G50" s="845"/>
      <c r="H50" s="855"/>
      <c r="I50" s="856"/>
      <c r="J50" s="856"/>
      <c r="K50" s="856"/>
      <c r="L50" s="856"/>
      <c r="M50" s="856"/>
      <c r="N50" s="856"/>
      <c r="O50" s="856"/>
      <c r="P50" s="856"/>
      <c r="Q50" s="856"/>
    </row>
    <row r="51" spans="2:17" ht="15.75">
      <c r="B51" s="502"/>
      <c r="C51" s="794" t="str">
        <f>"B.   Determine Annual Revenue Requirement with hypothetical "&amp;F15&amp;" basis point increase in ROE."</f>
        <v>B.   Determine Annual Revenue Requirement with hypothetical 0 basis point increase in ROE.</v>
      </c>
      <c r="D51" s="857"/>
      <c r="E51" s="857"/>
      <c r="F51" s="845"/>
      <c r="G51" s="845"/>
      <c r="H51" s="855"/>
      <c r="I51" s="856"/>
      <c r="J51" s="856"/>
      <c r="K51" s="856"/>
      <c r="L51" s="856"/>
      <c r="M51" s="856"/>
      <c r="N51" s="856"/>
      <c r="O51" s="856"/>
      <c r="P51" s="856"/>
      <c r="Q51" s="856"/>
    </row>
    <row r="52" spans="2:17" ht="12.75">
      <c r="B52" s="502"/>
      <c r="C52" s="846"/>
      <c r="D52" s="857"/>
      <c r="E52" s="857"/>
      <c r="F52" s="845"/>
      <c r="G52" s="845"/>
      <c r="H52" s="855"/>
      <c r="I52" s="856"/>
      <c r="J52" s="856"/>
      <c r="K52" s="856"/>
      <c r="L52" s="856"/>
      <c r="M52" s="856"/>
      <c r="N52" s="856"/>
      <c r="O52" s="856"/>
      <c r="P52" s="856"/>
      <c r="Q52" s="856"/>
    </row>
    <row r="53" spans="2:17" ht="12.75">
      <c r="B53" s="502"/>
      <c r="C53" s="848" t="str">
        <f>C49</f>
        <v>   Annual Revenue Requirement, Less Lease Payments, Return and Taxes</v>
      </c>
      <c r="D53" s="857"/>
      <c r="E53" s="857"/>
      <c r="F53" s="845">
        <f>F49</f>
        <v>91321.08369656403</v>
      </c>
      <c r="G53" s="845"/>
      <c r="H53" s="847"/>
      <c r="I53" s="847"/>
      <c r="J53" s="847"/>
      <c r="K53" s="847"/>
      <c r="L53" s="847"/>
      <c r="M53" s="847"/>
      <c r="N53" s="847"/>
      <c r="O53" s="847"/>
      <c r="P53" s="858"/>
      <c r="Q53" s="847"/>
    </row>
    <row r="54" spans="2:17" ht="12.75">
      <c r="B54" s="502"/>
      <c r="C54" s="799" t="s">
        <v>146</v>
      </c>
      <c r="D54" s="859"/>
      <c r="E54" s="860"/>
      <c r="F54" s="861">
        <f>E28</f>
        <v>4523.679531630831</v>
      </c>
      <c r="G54" s="861"/>
      <c r="H54" s="860"/>
      <c r="I54" s="977"/>
      <c r="J54" s="860"/>
      <c r="K54" s="860"/>
      <c r="L54" s="860"/>
      <c r="M54" s="860"/>
      <c r="N54" s="860"/>
      <c r="O54" s="860"/>
      <c r="P54" s="860"/>
      <c r="Q54" s="860"/>
    </row>
    <row r="55" spans="2:17" ht="12.75" customHeight="1">
      <c r="B55" s="502"/>
      <c r="C55" s="795" t="s">
        <v>113</v>
      </c>
      <c r="D55" s="847"/>
      <c r="E55" s="847"/>
      <c r="F55" s="851">
        <f>E38</f>
        <v>2577.749934268937</v>
      </c>
      <c r="G55" s="851"/>
      <c r="H55" s="468"/>
      <c r="I55" s="843"/>
      <c r="J55" s="468"/>
      <c r="K55" s="584"/>
      <c r="Q55" s="584"/>
    </row>
    <row r="56" spans="2:17" ht="12.75">
      <c r="B56" s="502"/>
      <c r="C56" s="860" t="str">
        <f>"   Annual Revenue Requirement, with "&amp;F15&amp;" Basis Point ROE increase"</f>
        <v>   Annual Revenue Requirement, with 0 Basis Point ROE increase</v>
      </c>
      <c r="D56" s="672"/>
      <c r="E56" s="468"/>
      <c r="F56" s="844">
        <f>SUM(F53:F55)</f>
        <v>98422.5131624638</v>
      </c>
      <c r="G56" s="844"/>
      <c r="H56" s="468"/>
      <c r="I56" s="843"/>
      <c r="J56" s="468"/>
      <c r="K56" s="584"/>
      <c r="Q56" s="584"/>
    </row>
    <row r="57" spans="2:17" ht="12.75">
      <c r="B57" s="502"/>
      <c r="C57" s="795" t="str">
        <f>"   Depreciation  (TCOS, ln "&amp;TCOS!B177&amp;")"</f>
        <v>   Depreciation  (TCOS, ln 109)</v>
      </c>
      <c r="D57" s="672"/>
      <c r="E57" s="468"/>
      <c r="F57" s="862">
        <f>TCOS!L177</f>
        <v>434</v>
      </c>
      <c r="G57" s="862"/>
      <c r="H57" s="844"/>
      <c r="I57" s="843"/>
      <c r="J57" s="468"/>
      <c r="K57" s="584"/>
      <c r="Q57" s="584"/>
    </row>
    <row r="58" spans="2:17" ht="12.75">
      <c r="B58" s="502"/>
      <c r="C58" s="1294" t="str">
        <f>"   Annual Rev. Req, w/ "&amp;F15&amp;" Basis Point ROE increase, less Depreciation"</f>
        <v>   Annual Rev. Req, w/ 0 Basis Point ROE increase, less Depreciation</v>
      </c>
      <c r="D58" s="1281"/>
      <c r="E58" s="468"/>
      <c r="F58" s="844">
        <f>F56-F57</f>
        <v>97988.5131624638</v>
      </c>
      <c r="G58" s="844"/>
      <c r="H58" s="468"/>
      <c r="I58" s="843"/>
      <c r="J58" s="468"/>
      <c r="K58" s="584"/>
      <c r="Q58" s="584"/>
    </row>
    <row r="59" spans="2:17" ht="12.75">
      <c r="B59" s="502"/>
      <c r="C59" s="1281"/>
      <c r="D59" s="1281"/>
      <c r="E59" s="468"/>
      <c r="F59" s="468"/>
      <c r="G59" s="468"/>
      <c r="H59" s="468"/>
      <c r="I59" s="843"/>
      <c r="J59" s="468"/>
      <c r="K59" s="584"/>
      <c r="Q59" s="584"/>
    </row>
    <row r="60" spans="2:17" ht="15.75">
      <c r="B60" s="502"/>
      <c r="C60" s="794" t="str">
        <f>"C.   Determine FCR with hypothetical "&amp;F15&amp;" basis point ROE increase."</f>
        <v>C.   Determine FCR with hypothetical 0 basis point ROE increase.</v>
      </c>
      <c r="D60" s="672"/>
      <c r="E60" s="468"/>
      <c r="F60" s="468"/>
      <c r="G60" s="468"/>
      <c r="H60" s="468"/>
      <c r="I60" s="843"/>
      <c r="J60" s="468"/>
      <c r="K60" s="584"/>
      <c r="Q60" s="584"/>
    </row>
    <row r="61" spans="2:17" ht="12.75">
      <c r="B61" s="502"/>
      <c r="C61" s="468"/>
      <c r="D61" s="672"/>
      <c r="E61" s="468"/>
      <c r="F61" s="468"/>
      <c r="G61" s="468"/>
      <c r="H61" s="468"/>
      <c r="I61" s="843"/>
      <c r="J61" s="468"/>
      <c r="K61" s="584"/>
      <c r="Q61" s="584"/>
    </row>
    <row r="62" spans="2:17" ht="12.75">
      <c r="B62" s="502"/>
      <c r="C62" s="795" t="str">
        <f>"   Net Transmission Plant  (Projected TCOS, ln "&amp;TCOS!B93&amp;")"</f>
        <v>   Net Transmission Plant  (Projected TCOS, ln 49)</v>
      </c>
      <c r="D62" s="672"/>
      <c r="E62" s="468"/>
      <c r="F62" s="844">
        <f>TCOS!L93</f>
        <v>23098.5</v>
      </c>
      <c r="G62" s="844"/>
      <c r="H62" s="844"/>
      <c r="I62" s="978"/>
      <c r="J62" s="468"/>
      <c r="K62" s="584"/>
      <c r="Q62" s="584"/>
    </row>
    <row r="63" spans="2:17" ht="12.75">
      <c r="B63" s="502"/>
      <c r="C63" s="860" t="str">
        <f>"   Annual Revenue Requirement, with "&amp;F15&amp;" Basis Point ROE increase"</f>
        <v>   Annual Revenue Requirement, with 0 Basis Point ROE increase</v>
      </c>
      <c r="D63" s="672"/>
      <c r="E63" s="468"/>
      <c r="F63" s="844">
        <f>F56</f>
        <v>98422.5131624638</v>
      </c>
      <c r="G63" s="844"/>
      <c r="H63" s="468"/>
      <c r="I63" s="843"/>
      <c r="J63" s="468"/>
      <c r="K63" s="584"/>
      <c r="Q63" s="584"/>
    </row>
    <row r="64" spans="2:17" ht="12.75">
      <c r="B64" s="502"/>
      <c r="C64" s="860" t="str">
        <f>"   FCR with "&amp;F15&amp;" Basis Point increase in ROE"</f>
        <v>   FCR with 0 Basis Point increase in ROE</v>
      </c>
      <c r="D64" s="672"/>
      <c r="E64" s="468"/>
      <c r="F64" s="842">
        <f>IF(F62=0,0,F63/F62)</f>
        <v>4.260991543280464</v>
      </c>
      <c r="G64" s="842"/>
      <c r="H64" s="842"/>
      <c r="I64" s="843"/>
      <c r="J64" s="468"/>
      <c r="K64" s="584"/>
      <c r="Q64" s="584"/>
    </row>
    <row r="65" spans="2:17" ht="12.75">
      <c r="B65" s="502"/>
      <c r="C65" s="339"/>
      <c r="D65" s="672"/>
      <c r="E65" s="468"/>
      <c r="F65" s="502"/>
      <c r="G65" s="502"/>
      <c r="H65" s="468"/>
      <c r="I65" s="843"/>
      <c r="J65" s="468"/>
      <c r="K65" s="584"/>
      <c r="Q65" s="584"/>
    </row>
    <row r="66" spans="2:17" ht="12.75">
      <c r="B66" s="502"/>
      <c r="C66" s="860" t="str">
        <f>"   Annual Rev. Req, w / "&amp;F15&amp;" Basis Point ROE increase, less Dep."</f>
        <v>   Annual Rev. Req, w / 0 Basis Point ROE increase, less Dep.</v>
      </c>
      <c r="D66" s="672"/>
      <c r="E66" s="468"/>
      <c r="F66" s="844">
        <f>F58</f>
        <v>97988.5131624638</v>
      </c>
      <c r="G66" s="844"/>
      <c r="H66" s="468"/>
      <c r="I66" s="843"/>
      <c r="J66" s="468"/>
      <c r="K66" s="584"/>
      <c r="Q66" s="584"/>
    </row>
    <row r="67" spans="2:17" ht="12.75">
      <c r="B67" s="502"/>
      <c r="C67" s="860" t="str">
        <f>"   FCR with "&amp;F15&amp;" Basis Point ROE increase, less Depreciation"</f>
        <v>   FCR with 0 Basis Point ROE increase, less Depreciation</v>
      </c>
      <c r="D67" s="672"/>
      <c r="E67" s="468"/>
      <c r="F67" s="842">
        <f>IF(F62=0,0,F66/F62)</f>
        <v>4.242202444421231</v>
      </c>
      <c r="G67" s="842"/>
      <c r="H67" s="468"/>
      <c r="I67" s="843"/>
      <c r="J67" s="468"/>
      <c r="K67" s="584"/>
      <c r="Q67" s="584"/>
    </row>
    <row r="68" spans="2:17" ht="12.75">
      <c r="B68" s="502"/>
      <c r="C68" s="795" t="str">
        <f>"   FCR less Depreciation  (TCOS, ln "&amp;TCOS!B29&amp;")"</f>
        <v>   FCR less Depreciation  (TCOS, ln 10)</v>
      </c>
      <c r="D68" s="672"/>
      <c r="E68" s="468"/>
      <c r="F68" s="864">
        <f>TCOS!L29</f>
        <v>4.242202444421231</v>
      </c>
      <c r="G68" s="864"/>
      <c r="H68" s="468"/>
      <c r="I68" s="843"/>
      <c r="J68" s="468"/>
      <c r="K68" s="584"/>
      <c r="Q68" s="584"/>
    </row>
    <row r="69" spans="2:17" ht="12.75">
      <c r="B69" s="502"/>
      <c r="C69" s="1294" t="str">
        <f>"   Incremental FCR with "&amp;F15&amp;" Basis Point ROE increase, less Depreciation"</f>
        <v>   Incremental FCR with 0 Basis Point ROE increase, less Depreciation</v>
      </c>
      <c r="D69" s="1281"/>
      <c r="E69" s="468"/>
      <c r="F69" s="842">
        <f>F67-F68</f>
        <v>0</v>
      </c>
      <c r="G69" s="842"/>
      <c r="H69" s="468"/>
      <c r="I69" s="843"/>
      <c r="J69" s="468"/>
      <c r="K69" s="584"/>
      <c r="Q69" s="584"/>
    </row>
    <row r="70" spans="2:17" ht="12.75">
      <c r="B70" s="502"/>
      <c r="C70" s="1281"/>
      <c r="D70" s="1281"/>
      <c r="E70" s="468"/>
      <c r="F70" s="842"/>
      <c r="G70" s="842"/>
      <c r="H70" s="468"/>
      <c r="I70" s="843"/>
      <c r="J70" s="468"/>
      <c r="K70" s="584"/>
      <c r="Q70" s="584"/>
    </row>
    <row r="71" spans="2:17" ht="18.75">
      <c r="B71" s="792" t="s">
        <v>694</v>
      </c>
      <c r="C71" s="791" t="s">
        <v>114</v>
      </c>
      <c r="D71" s="672"/>
      <c r="E71" s="468"/>
      <c r="F71" s="842"/>
      <c r="G71" s="842"/>
      <c r="H71" s="468"/>
      <c r="I71" s="843"/>
      <c r="J71" s="468"/>
      <c r="K71" s="584"/>
      <c r="Q71" s="584"/>
    </row>
    <row r="72" spans="2:17" ht="12.75">
      <c r="B72" s="502"/>
      <c r="C72" s="860"/>
      <c r="D72" s="672"/>
      <c r="E72" s="468"/>
      <c r="F72" s="842"/>
      <c r="G72" s="842"/>
      <c r="H72" s="468"/>
      <c r="I72" s="843"/>
      <c r="J72" s="468"/>
      <c r="K72" s="584"/>
      <c r="Q72" s="584"/>
    </row>
    <row r="73" spans="2:17" ht="12.75">
      <c r="B73" s="502"/>
      <c r="C73" s="860" t="str">
        <f>"Transmission Plant @ Beginning of Rate Year ("&amp;TCOS!L2-1&amp;") (P.206, ln 58,(b)):"</f>
        <v>Transmission Plant @ Beginning of Rate Year (2016) (P.206, ln 58,(b)):</v>
      </c>
      <c r="D73" s="672"/>
      <c r="H73" s="865">
        <f>+'WS A  - RB Support '!F19</f>
        <v>32</v>
      </c>
      <c r="J73" s="468"/>
      <c r="K73" s="584"/>
      <c r="Q73" s="584"/>
    </row>
    <row r="74" spans="2:17" ht="12.75">
      <c r="B74" s="502"/>
      <c r="C74" s="860" t="str">
        <f>"Transmission Plant @ End of Rate Year ("&amp;TCOS!L2-1&amp;") (P.207, ln 58,(g)):"</f>
        <v>Transmission Plant @ End of Rate Year (2016) (P.207, ln 58,(g)):</v>
      </c>
      <c r="D74" s="672"/>
      <c r="H74" s="866">
        <f>+'WS A  - RB Support '!E19</f>
        <v>46595</v>
      </c>
      <c r="J74" s="468"/>
      <c r="K74" s="584"/>
      <c r="Q74" s="584"/>
    </row>
    <row r="75" spans="2:17" ht="12.75">
      <c r="B75" s="502"/>
      <c r="C75" s="860" t="s">
        <v>371</v>
      </c>
      <c r="D75" s="672"/>
      <c r="H75" s="843">
        <f>+H74+H73</f>
        <v>46627</v>
      </c>
      <c r="J75" s="468"/>
      <c r="K75" s="584"/>
      <c r="Q75" s="584"/>
    </row>
    <row r="76" spans="2:17" ht="12.75">
      <c r="B76" s="502"/>
      <c r="C76" s="860" t="str">
        <f>+"Average Transmission Plant Balance for "&amp;TCOS!L2-1&amp;""</f>
        <v>Average Transmission Plant Balance for 2016</v>
      </c>
      <c r="D76" s="672"/>
      <c r="H76" s="843">
        <f>+H75/2</f>
        <v>23313.5</v>
      </c>
      <c r="J76" s="468"/>
      <c r="K76" s="584"/>
      <c r="Q76" s="584"/>
    </row>
    <row r="77" spans="2:17" ht="12.75">
      <c r="B77" s="502"/>
      <c r="C77" s="860" t="str">
        <f>"Annual Depreciation and Amortization Expense (TCOS, ln "&amp;TCOS!B177&amp;")"</f>
        <v>Annual Depreciation and Amortization Expense (TCOS, ln 109)</v>
      </c>
      <c r="D77" s="672"/>
      <c r="E77" s="468"/>
      <c r="H77" s="865">
        <f>TCOS!L177</f>
        <v>434</v>
      </c>
      <c r="I77" s="843"/>
      <c r="J77" s="468"/>
      <c r="K77" s="584"/>
      <c r="Q77" s="584"/>
    </row>
    <row r="78" spans="2:17" ht="12.75">
      <c r="B78" s="502"/>
      <c r="C78" s="860" t="s">
        <v>115</v>
      </c>
      <c r="D78" s="672"/>
      <c r="E78" s="468"/>
      <c r="H78" s="868">
        <f>IF(H76=0,ROUND('WS P Dep. Rates'!E30,4),H77/H76)</f>
        <v>0.018615823449932442</v>
      </c>
      <c r="I78" s="869"/>
      <c r="J78" s="1285" t="str">
        <f>"Note 1:  Until "&amp;A4&amp;" establishes Transmission plant in service the depreciation expense component of the carrying charge will be calculated as in the Operating Company formula approved in Docket No. ER08-1329.  The calculation for "&amp;A4&amp;" is shown on Worksheet P."</f>
        <v>Note 1:  Until AEP APPALACHIAN TRANSMISSION COMPANY establishes Transmission plant in service the depreciation expense component of the carrying charge will be calculated as in the Operating Company formula approved in Docket No. ER08-1329.  The calculation for AEP APPALACHIAN TRANSMISSION COMPANY is shown on Worksheet P.</v>
      </c>
      <c r="K78" s="1285"/>
      <c r="L78" s="1285"/>
      <c r="M78" s="1285"/>
      <c r="N78" s="1285"/>
      <c r="O78" s="1285"/>
      <c r="P78" s="1285"/>
      <c r="Q78" s="584"/>
    </row>
    <row r="79" spans="2:17" ht="12.75">
      <c r="B79" s="502"/>
      <c r="C79" s="860" t="s">
        <v>116</v>
      </c>
      <c r="D79" s="672"/>
      <c r="E79" s="468"/>
      <c r="H79" s="870">
        <f>IF(H78=0,0,1/H78)</f>
        <v>53.71774193548387</v>
      </c>
      <c r="I79" s="843"/>
      <c r="J79" s="1285"/>
      <c r="K79" s="1285"/>
      <c r="L79" s="1285"/>
      <c r="M79" s="1285"/>
      <c r="N79" s="1285"/>
      <c r="O79" s="1285"/>
      <c r="P79" s="1285"/>
      <c r="Q79" s="584"/>
    </row>
    <row r="80" spans="2:17" ht="12.75">
      <c r="B80" s="502"/>
      <c r="C80" s="860" t="s">
        <v>885</v>
      </c>
      <c r="D80" s="672"/>
      <c r="E80" s="468"/>
      <c r="H80" s="872">
        <f>ROUND(H79,0)</f>
        <v>54</v>
      </c>
      <c r="I80" s="843"/>
      <c r="J80" s="1285"/>
      <c r="K80" s="1285"/>
      <c r="L80" s="1285"/>
      <c r="M80" s="1285"/>
      <c r="N80" s="1285"/>
      <c r="O80" s="1285"/>
      <c r="P80" s="1285"/>
      <c r="Q80" s="584"/>
    </row>
    <row r="81" spans="2:17" ht="12.75">
      <c r="B81" s="502"/>
      <c r="C81" s="860"/>
      <c r="D81" s="672"/>
      <c r="E81" s="468"/>
      <c r="H81" s="872"/>
      <c r="I81" s="843"/>
      <c r="J81" s="1285"/>
      <c r="K81" s="1285"/>
      <c r="L81" s="1285"/>
      <c r="M81" s="1285"/>
      <c r="N81" s="1285"/>
      <c r="O81" s="1285"/>
      <c r="P81" s="1285"/>
      <c r="Q81" s="584"/>
    </row>
    <row r="82" spans="1:17" ht="20.25">
      <c r="A82" s="875" t="str">
        <f>""&amp;A4&amp;" Worksheet K -  ATRR TRUE-UP Calculation for PJM Projects Charged to Benefiting Zones"</f>
        <v>AEP APPALACHIAN TRANSMISSION COMPANY Worksheet K -  ATRR TRUE-UP Calculation for PJM Projects Charged to Benefiting Zones</v>
      </c>
      <c r="B82" s="502"/>
      <c r="C82" s="860"/>
      <c r="D82" s="672"/>
      <c r="E82" s="468"/>
      <c r="F82" s="842"/>
      <c r="G82" s="842"/>
      <c r="H82" s="468"/>
      <c r="I82" s="843"/>
      <c r="L82" s="876"/>
      <c r="M82" s="876"/>
      <c r="N82" s="876"/>
      <c r="O82" s="788" t="str">
        <f>"Page "&amp;SUM(Q$6:Q82)&amp;" of "</f>
        <v>Page 2 of </v>
      </c>
      <c r="P82" s="789">
        <f>COUNT(Q$6:Q$59090)</f>
        <v>2</v>
      </c>
      <c r="Q82" s="853">
        <v>1</v>
      </c>
    </row>
    <row r="83" spans="2:17" ht="12.75">
      <c r="B83" s="502"/>
      <c r="C83" s="468"/>
      <c r="D83" s="672"/>
      <c r="E83" s="468"/>
      <c r="F83" s="468"/>
      <c r="G83" s="468"/>
      <c r="H83" s="468"/>
      <c r="I83" s="843"/>
      <c r="J83" s="468"/>
      <c r="K83" s="584"/>
      <c r="Q83" s="584"/>
    </row>
    <row r="84" spans="2:17" ht="18">
      <c r="B84" s="792" t="s">
        <v>695</v>
      </c>
      <c r="C84" s="877" t="s">
        <v>137</v>
      </c>
      <c r="D84" s="672"/>
      <c r="E84" s="468"/>
      <c r="F84" s="468"/>
      <c r="G84" s="468"/>
      <c r="H84" s="468"/>
      <c r="I84" s="843"/>
      <c r="J84" s="843"/>
      <c r="K84" s="867"/>
      <c r="L84" s="843"/>
      <c r="M84" s="843"/>
      <c r="N84" s="843"/>
      <c r="O84" s="843"/>
      <c r="Q84" s="867"/>
    </row>
    <row r="85" spans="2:17" ht="18.75">
      <c r="B85" s="792"/>
      <c r="C85" s="791"/>
      <c r="D85" s="672"/>
      <c r="E85" s="468"/>
      <c r="F85" s="468"/>
      <c r="G85" s="468"/>
      <c r="H85" s="468"/>
      <c r="I85" s="843"/>
      <c r="J85" s="843"/>
      <c r="K85" s="867"/>
      <c r="L85" s="843"/>
      <c r="M85" s="843"/>
      <c r="N85" s="843"/>
      <c r="O85" s="843"/>
      <c r="Q85" s="867"/>
    </row>
    <row r="86" spans="2:17" ht="18.75">
      <c r="B86" s="792"/>
      <c r="C86" s="791" t="s">
        <v>138</v>
      </c>
      <c r="D86" s="672"/>
      <c r="E86" s="468"/>
      <c r="F86" s="468"/>
      <c r="G86" s="468"/>
      <c r="H86" s="468"/>
      <c r="I86" s="843"/>
      <c r="J86" s="843"/>
      <c r="K86" s="867"/>
      <c r="L86" s="843"/>
      <c r="M86" s="843"/>
      <c r="N86" s="843"/>
      <c r="O86" s="843"/>
      <c r="Q86" s="867"/>
    </row>
    <row r="87" spans="3:17" ht="15.75" thickBot="1">
      <c r="C87" s="396"/>
      <c r="D87" s="672"/>
      <c r="E87" s="468"/>
      <c r="F87" s="468"/>
      <c r="G87" s="468"/>
      <c r="H87" s="468"/>
      <c r="I87" s="843"/>
      <c r="J87" s="843"/>
      <c r="K87" s="867"/>
      <c r="L87" s="843"/>
      <c r="M87" s="843"/>
      <c r="N87" s="843"/>
      <c r="O87" s="843"/>
      <c r="Q87" s="867"/>
    </row>
    <row r="88" spans="3:17" ht="15.75">
      <c r="C88" s="794" t="s">
        <v>139</v>
      </c>
      <c r="D88" s="672"/>
      <c r="E88" s="468"/>
      <c r="F88" s="468"/>
      <c r="G88" s="468"/>
      <c r="H88" s="946"/>
      <c r="I88" s="468" t="s">
        <v>117</v>
      </c>
      <c r="J88" s="468"/>
      <c r="K88" s="584"/>
      <c r="L88" s="979">
        <f>+J94</f>
        <v>2016</v>
      </c>
      <c r="M88" s="960" t="s">
        <v>96</v>
      </c>
      <c r="N88" s="960" t="s">
        <v>97</v>
      </c>
      <c r="O88" s="961" t="s">
        <v>98</v>
      </c>
      <c r="Q88" s="584"/>
    </row>
    <row r="89" spans="3:17" ht="15.75">
      <c r="C89" s="794"/>
      <c r="D89" s="672"/>
      <c r="E89" s="468"/>
      <c r="F89" s="468"/>
      <c r="H89" s="468"/>
      <c r="I89" s="882"/>
      <c r="J89" s="882"/>
      <c r="K89" s="883"/>
      <c r="L89" s="980" t="s">
        <v>336</v>
      </c>
      <c r="M89" s="981">
        <f>VLOOKUP(J94,C101:P160,10)</f>
        <v>0</v>
      </c>
      <c r="N89" s="981">
        <f>VLOOKUP(J94,C101:P160,12)</f>
        <v>0</v>
      </c>
      <c r="O89" s="982">
        <f>+N89-M89</f>
        <v>0</v>
      </c>
      <c r="Q89" s="883"/>
    </row>
    <row r="90" spans="3:17" ht="12.75">
      <c r="C90" s="887" t="s">
        <v>140</v>
      </c>
      <c r="D90" s="947" t="s">
        <v>637</v>
      </c>
      <c r="E90" s="990"/>
      <c r="F90" s="990"/>
      <c r="G90" s="990"/>
      <c r="H90" s="990"/>
      <c r="I90" s="991"/>
      <c r="J90" s="991"/>
      <c r="K90" s="867"/>
      <c r="L90" s="980" t="s">
        <v>337</v>
      </c>
      <c r="M90" s="983">
        <f>VLOOKUP(J94,C101:P160,6)</f>
        <v>0</v>
      </c>
      <c r="N90" s="983">
        <f>VLOOKUP(J94,C101:P160,7)</f>
        <v>0</v>
      </c>
      <c r="O90" s="984">
        <f>+N90-M90</f>
        <v>0</v>
      </c>
      <c r="Q90" s="867"/>
    </row>
    <row r="91" spans="3:17" ht="13.5" thickBot="1">
      <c r="C91" s="890"/>
      <c r="D91" s="891"/>
      <c r="E91" s="872"/>
      <c r="F91" s="872"/>
      <c r="G91" s="872"/>
      <c r="H91" s="892"/>
      <c r="I91" s="843"/>
      <c r="J91" s="843"/>
      <c r="K91" s="867"/>
      <c r="L91" s="909" t="s">
        <v>338</v>
      </c>
      <c r="M91" s="985">
        <f>+M90-M89</f>
        <v>0</v>
      </c>
      <c r="N91" s="985">
        <f>+N90-N89</f>
        <v>0</v>
      </c>
      <c r="O91" s="986">
        <f>+O90-O89</f>
        <v>0</v>
      </c>
      <c r="Q91" s="867"/>
    </row>
    <row r="92" spans="3:17" ht="13.5" thickBot="1">
      <c r="C92" s="893"/>
      <c r="D92" s="894"/>
      <c r="E92" s="892"/>
      <c r="F92" s="892"/>
      <c r="G92" s="892"/>
      <c r="H92" s="892"/>
      <c r="I92" s="892"/>
      <c r="J92" s="892"/>
      <c r="K92" s="895"/>
      <c r="L92" s="892"/>
      <c r="M92" s="892"/>
      <c r="N92" s="892"/>
      <c r="O92" s="892"/>
      <c r="P92" s="502"/>
      <c r="Q92" s="895"/>
    </row>
    <row r="93" spans="3:17" ht="13.5" thickBot="1">
      <c r="C93" s="896" t="s">
        <v>141</v>
      </c>
      <c r="D93" s="897"/>
      <c r="E93" s="897"/>
      <c r="F93" s="897"/>
      <c r="G93" s="897"/>
      <c r="H93" s="897"/>
      <c r="I93" s="897"/>
      <c r="J93" s="897"/>
      <c r="K93" s="899"/>
      <c r="P93" s="900"/>
      <c r="Q93" s="987"/>
    </row>
    <row r="94" spans="3:17" ht="15">
      <c r="C94" s="901" t="s">
        <v>118</v>
      </c>
      <c r="D94" s="949">
        <v>0</v>
      </c>
      <c r="E94" s="860" t="s">
        <v>119</v>
      </c>
      <c r="H94" s="902"/>
      <c r="I94" s="902"/>
      <c r="J94" s="903">
        <f>+TCOS!$L$2-1</f>
        <v>2016</v>
      </c>
      <c r="K94" s="689"/>
      <c r="L94" s="1284" t="s">
        <v>120</v>
      </c>
      <c r="M94" s="1284"/>
      <c r="N94" s="1284"/>
      <c r="O94" s="1284"/>
      <c r="P94" s="584"/>
      <c r="Q94" s="689"/>
    </row>
    <row r="95" spans="3:17" ht="12.75">
      <c r="C95" s="901" t="s">
        <v>121</v>
      </c>
      <c r="D95" s="993">
        <v>0</v>
      </c>
      <c r="E95" s="901" t="s">
        <v>122</v>
      </c>
      <c r="F95" s="902"/>
      <c r="G95" s="902"/>
      <c r="I95" s="352"/>
      <c r="J95" s="992">
        <f>IF(H88="",0,$F$15)</f>
        <v>0</v>
      </c>
      <c r="K95" s="904"/>
      <c r="L95" s="867" t="s">
        <v>417</v>
      </c>
      <c r="P95" s="584"/>
      <c r="Q95" s="904"/>
    </row>
    <row r="96" spans="3:17" ht="12.75">
      <c r="C96" s="901" t="s">
        <v>123</v>
      </c>
      <c r="D96" s="951">
        <v>12</v>
      </c>
      <c r="E96" s="901" t="s">
        <v>124</v>
      </c>
      <c r="F96" s="902"/>
      <c r="G96" s="902"/>
      <c r="I96" s="352"/>
      <c r="J96" s="905">
        <f>$F$68</f>
        <v>4.242202444421231</v>
      </c>
      <c r="K96" s="906"/>
      <c r="L96" s="468" t="str">
        <f>"          INPUT TRUE-UP ARR (WITH &amp; WITHOUT INCENTIVES) FROM EACH PRIOR YEAR"</f>
        <v>          INPUT TRUE-UP ARR (WITH &amp; WITHOUT INCENTIVES) FROM EACH PRIOR YEAR</v>
      </c>
      <c r="P96" s="584"/>
      <c r="Q96" s="906"/>
    </row>
    <row r="97" spans="3:17" ht="12.75">
      <c r="C97" s="901" t="s">
        <v>125</v>
      </c>
      <c r="D97" s="907">
        <f>H$80</f>
        <v>54</v>
      </c>
      <c r="E97" s="901" t="s">
        <v>126</v>
      </c>
      <c r="F97" s="902"/>
      <c r="G97" s="902"/>
      <c r="I97" s="352"/>
      <c r="J97" s="905">
        <f>IF(H88="",+J96,$F$67)</f>
        <v>4.242202444421231</v>
      </c>
      <c r="K97" s="908"/>
      <c r="L97" s="468" t="s">
        <v>221</v>
      </c>
      <c r="M97" s="908"/>
      <c r="N97" s="908"/>
      <c r="O97" s="908"/>
      <c r="P97" s="584"/>
      <c r="Q97" s="908"/>
    </row>
    <row r="98" spans="3:17" ht="13.5" thickBot="1">
      <c r="C98" s="901" t="s">
        <v>127</v>
      </c>
      <c r="D98" s="948" t="s">
        <v>128</v>
      </c>
      <c r="E98" s="909" t="s">
        <v>129</v>
      </c>
      <c r="F98" s="910"/>
      <c r="G98" s="910"/>
      <c r="H98" s="911"/>
      <c r="I98" s="911"/>
      <c r="J98" s="889">
        <f>IF(D94=0,0,D94/D97)</f>
        <v>0</v>
      </c>
      <c r="K98" s="867"/>
      <c r="L98" s="867" t="s">
        <v>222</v>
      </c>
      <c r="M98" s="867"/>
      <c r="N98" s="867"/>
      <c r="O98" s="867"/>
      <c r="P98" s="584"/>
      <c r="Q98" s="867"/>
    </row>
    <row r="99" spans="1:17" ht="38.25">
      <c r="A99" s="793"/>
      <c r="B99" s="912"/>
      <c r="C99" s="913" t="s">
        <v>118</v>
      </c>
      <c r="D99" s="914" t="s">
        <v>130</v>
      </c>
      <c r="E99" s="915" t="s">
        <v>131</v>
      </c>
      <c r="F99" s="914" t="s">
        <v>132</v>
      </c>
      <c r="G99" s="914" t="s">
        <v>339</v>
      </c>
      <c r="H99" s="915" t="s">
        <v>215</v>
      </c>
      <c r="I99" s="916" t="s">
        <v>215</v>
      </c>
      <c r="J99" s="913" t="s">
        <v>142</v>
      </c>
      <c r="K99" s="917"/>
      <c r="L99" s="915" t="s">
        <v>217</v>
      </c>
      <c r="M99" s="915" t="s">
        <v>223</v>
      </c>
      <c r="N99" s="915" t="s">
        <v>217</v>
      </c>
      <c r="O99" s="915" t="s">
        <v>225</v>
      </c>
      <c r="P99" s="915" t="s">
        <v>133</v>
      </c>
      <c r="Q99" s="919"/>
    </row>
    <row r="100" spans="3:17" ht="13.5" thickBot="1">
      <c r="C100" s="920" t="s">
        <v>698</v>
      </c>
      <c r="D100" s="921" t="s">
        <v>699</v>
      </c>
      <c r="E100" s="920" t="s">
        <v>590</v>
      </c>
      <c r="F100" s="921" t="s">
        <v>699</v>
      </c>
      <c r="G100" s="921" t="s">
        <v>699</v>
      </c>
      <c r="H100" s="922" t="s">
        <v>145</v>
      </c>
      <c r="I100" s="923" t="s">
        <v>147</v>
      </c>
      <c r="J100" s="924" t="s">
        <v>70</v>
      </c>
      <c r="K100" s="925"/>
      <c r="L100" s="922" t="s">
        <v>134</v>
      </c>
      <c r="M100" s="922" t="s">
        <v>134</v>
      </c>
      <c r="N100" s="922" t="s">
        <v>357</v>
      </c>
      <c r="O100" s="922" t="s">
        <v>357</v>
      </c>
      <c r="P100" s="922" t="s">
        <v>357</v>
      </c>
      <c r="Q100" s="689"/>
    </row>
    <row r="101" spans="3:17" ht="12.75">
      <c r="C101" s="927">
        <f>IF(D95="","-",D95)</f>
        <v>0</v>
      </c>
      <c r="D101" s="874">
        <f>+D94</f>
        <v>0</v>
      </c>
      <c r="E101" s="934">
        <f>+J98/12*(12-D96)</f>
        <v>0</v>
      </c>
      <c r="F101" s="988">
        <f aca="true" t="shared" si="0" ref="F101:F141">+D101-E101</f>
        <v>0</v>
      </c>
      <c r="G101" s="874">
        <f>+(D101+F101)/2</f>
        <v>0</v>
      </c>
      <c r="H101" s="929">
        <f>+J96*G101+E101</f>
        <v>0</v>
      </c>
      <c r="I101" s="930">
        <f>+J97*G101+E101</f>
        <v>0</v>
      </c>
      <c r="J101" s="931">
        <f>+I101-H101</f>
        <v>0</v>
      </c>
      <c r="K101" s="931"/>
      <c r="L101" s="953">
        <v>0</v>
      </c>
      <c r="M101" s="989">
        <f aca="true" t="shared" si="1" ref="M101:M141">IF(L101&lt;&gt;0,+H101-L101,0)</f>
        <v>0</v>
      </c>
      <c r="N101" s="953">
        <v>0</v>
      </c>
      <c r="O101" s="989">
        <f aca="true" t="shared" si="2" ref="O101:O141">IF(N101&lt;&gt;0,+I101-N101,0)</f>
        <v>0</v>
      </c>
      <c r="P101" s="989">
        <f aca="true" t="shared" si="3" ref="P101:P141">+O101-M101</f>
        <v>0</v>
      </c>
      <c r="Q101" s="933"/>
    </row>
    <row r="102" spans="3:17" ht="12.75">
      <c r="C102" s="927">
        <f>IF(D95="","-",+C101+1)</f>
        <v>1</v>
      </c>
      <c r="D102" s="874">
        <f aca="true" t="shared" si="4" ref="D102:D142">F101</f>
        <v>0</v>
      </c>
      <c r="E102" s="928">
        <f>IF(D102&gt;$J$98,$J$98,D102)</f>
        <v>0</v>
      </c>
      <c r="F102" s="928">
        <f t="shared" si="0"/>
        <v>0</v>
      </c>
      <c r="G102" s="874">
        <f aca="true" t="shared" si="5" ref="G102:G160">+(D102+F102)/2</f>
        <v>0</v>
      </c>
      <c r="H102" s="934">
        <f>+J96*G102+E102</f>
        <v>0</v>
      </c>
      <c r="I102" s="935">
        <f>+J97*G102+E102</f>
        <v>0</v>
      </c>
      <c r="J102" s="931">
        <f>+I102-H102</f>
        <v>0</v>
      </c>
      <c r="K102" s="931"/>
      <c r="L102" s="954">
        <v>0</v>
      </c>
      <c r="M102" s="931">
        <f t="shared" si="1"/>
        <v>0</v>
      </c>
      <c r="N102" s="954">
        <v>0</v>
      </c>
      <c r="O102" s="931">
        <f t="shared" si="2"/>
        <v>0</v>
      </c>
      <c r="P102" s="931">
        <f t="shared" si="3"/>
        <v>0</v>
      </c>
      <c r="Q102" s="933"/>
    </row>
    <row r="103" spans="3:17" ht="12.75">
      <c r="C103" s="927">
        <f>IF(D95="","-",+C102+1)</f>
        <v>2</v>
      </c>
      <c r="D103" s="874">
        <f t="shared" si="4"/>
        <v>0</v>
      </c>
      <c r="E103" s="928">
        <f aca="true" t="shared" si="6" ref="E103:E160">IF(D103&gt;$J$98,$J$98,D103)</f>
        <v>0</v>
      </c>
      <c r="F103" s="928">
        <f t="shared" si="0"/>
        <v>0</v>
      </c>
      <c r="G103" s="874">
        <f t="shared" si="5"/>
        <v>0</v>
      </c>
      <c r="H103" s="934">
        <f>+J96*G103+E103</f>
        <v>0</v>
      </c>
      <c r="I103" s="935">
        <f>+J97*G103+E103</f>
        <v>0</v>
      </c>
      <c r="J103" s="931">
        <f aca="true" t="shared" si="7" ref="J103:J160">+I103-H103</f>
        <v>0</v>
      </c>
      <c r="K103" s="931"/>
      <c r="L103" s="955">
        <v>0</v>
      </c>
      <c r="M103" s="931">
        <f t="shared" si="1"/>
        <v>0</v>
      </c>
      <c r="N103" s="955">
        <v>0</v>
      </c>
      <c r="O103" s="931">
        <f t="shared" si="2"/>
        <v>0</v>
      </c>
      <c r="P103" s="931">
        <f t="shared" si="3"/>
        <v>0</v>
      </c>
      <c r="Q103" s="933"/>
    </row>
    <row r="104" spans="3:17" ht="12.75">
      <c r="C104" s="927">
        <f>IF(D95="","-",+C103+1)</f>
        <v>3</v>
      </c>
      <c r="D104" s="874">
        <f t="shared" si="4"/>
        <v>0</v>
      </c>
      <c r="E104" s="928">
        <f t="shared" si="6"/>
        <v>0</v>
      </c>
      <c r="F104" s="928">
        <f t="shared" si="0"/>
        <v>0</v>
      </c>
      <c r="G104" s="874">
        <f t="shared" si="5"/>
        <v>0</v>
      </c>
      <c r="H104" s="934">
        <f>+J96*G104+E104</f>
        <v>0</v>
      </c>
      <c r="I104" s="935">
        <f>+J97*G104+E104</f>
        <v>0</v>
      </c>
      <c r="J104" s="931">
        <f t="shared" si="7"/>
        <v>0</v>
      </c>
      <c r="K104" s="931"/>
      <c r="L104" s="955">
        <v>0</v>
      </c>
      <c r="M104" s="931">
        <f t="shared" si="1"/>
        <v>0</v>
      </c>
      <c r="N104" s="955">
        <v>0</v>
      </c>
      <c r="O104" s="931">
        <f t="shared" si="2"/>
        <v>0</v>
      </c>
      <c r="P104" s="931">
        <f t="shared" si="3"/>
        <v>0</v>
      </c>
      <c r="Q104" s="933"/>
    </row>
    <row r="105" spans="3:17" ht="12.75">
      <c r="C105" s="927">
        <f>IF(D95="","-",+C104+1)</f>
        <v>4</v>
      </c>
      <c r="D105" s="874">
        <f t="shared" si="4"/>
        <v>0</v>
      </c>
      <c r="E105" s="928">
        <f t="shared" si="6"/>
        <v>0</v>
      </c>
      <c r="F105" s="928">
        <f t="shared" si="0"/>
        <v>0</v>
      </c>
      <c r="G105" s="874">
        <f t="shared" si="5"/>
        <v>0</v>
      </c>
      <c r="H105" s="934">
        <f>+J96*G105+E105</f>
        <v>0</v>
      </c>
      <c r="I105" s="935">
        <f>+J97*G105+E105</f>
        <v>0</v>
      </c>
      <c r="J105" s="931">
        <f t="shared" si="7"/>
        <v>0</v>
      </c>
      <c r="K105" s="931"/>
      <c r="L105" s="955"/>
      <c r="M105" s="931">
        <f t="shared" si="1"/>
        <v>0</v>
      </c>
      <c r="N105" s="955"/>
      <c r="O105" s="931">
        <f t="shared" si="2"/>
        <v>0</v>
      </c>
      <c r="P105" s="931">
        <f t="shared" si="3"/>
        <v>0</v>
      </c>
      <c r="Q105" s="933"/>
    </row>
    <row r="106" spans="3:17" ht="12.75">
      <c r="C106" s="927">
        <f>IF(D95="","-",+C105+1)</f>
        <v>5</v>
      </c>
      <c r="D106" s="874">
        <f t="shared" si="4"/>
        <v>0</v>
      </c>
      <c r="E106" s="928">
        <f t="shared" si="6"/>
        <v>0</v>
      </c>
      <c r="F106" s="928">
        <f t="shared" si="0"/>
        <v>0</v>
      </c>
      <c r="G106" s="874">
        <f t="shared" si="5"/>
        <v>0</v>
      </c>
      <c r="H106" s="934">
        <f>+J96*G106+E106</f>
        <v>0</v>
      </c>
      <c r="I106" s="935">
        <f>+J97*G106+E106</f>
        <v>0</v>
      </c>
      <c r="J106" s="931">
        <f t="shared" si="7"/>
        <v>0</v>
      </c>
      <c r="K106" s="931"/>
      <c r="L106" s="955"/>
      <c r="M106" s="931">
        <f t="shared" si="1"/>
        <v>0</v>
      </c>
      <c r="N106" s="955"/>
      <c r="O106" s="931">
        <f t="shared" si="2"/>
        <v>0</v>
      </c>
      <c r="P106" s="931">
        <f t="shared" si="3"/>
        <v>0</v>
      </c>
      <c r="Q106" s="933"/>
    </row>
    <row r="107" spans="3:17" ht="12.75">
      <c r="C107" s="927">
        <f>IF(D95="","-",+C106+1)</f>
        <v>6</v>
      </c>
      <c r="D107" s="874">
        <f t="shared" si="4"/>
        <v>0</v>
      </c>
      <c r="E107" s="928">
        <f t="shared" si="6"/>
        <v>0</v>
      </c>
      <c r="F107" s="928">
        <f t="shared" si="0"/>
        <v>0</v>
      </c>
      <c r="G107" s="874">
        <f t="shared" si="5"/>
        <v>0</v>
      </c>
      <c r="H107" s="934">
        <f>+J96*G107+E107</f>
        <v>0</v>
      </c>
      <c r="I107" s="935">
        <f>+J97*G107+E107</f>
        <v>0</v>
      </c>
      <c r="J107" s="931">
        <f t="shared" si="7"/>
        <v>0</v>
      </c>
      <c r="K107" s="931"/>
      <c r="L107" s="955"/>
      <c r="M107" s="931">
        <f t="shared" si="1"/>
        <v>0</v>
      </c>
      <c r="N107" s="955"/>
      <c r="O107" s="931">
        <f t="shared" si="2"/>
        <v>0</v>
      </c>
      <c r="P107" s="931">
        <f t="shared" si="3"/>
        <v>0</v>
      </c>
      <c r="Q107" s="933"/>
    </row>
    <row r="108" spans="3:17" ht="12.75">
      <c r="C108" s="927">
        <f>IF(D95="","-",+C107+1)</f>
        <v>7</v>
      </c>
      <c r="D108" s="874">
        <f t="shared" si="4"/>
        <v>0</v>
      </c>
      <c r="E108" s="928">
        <f t="shared" si="6"/>
        <v>0</v>
      </c>
      <c r="F108" s="928">
        <f t="shared" si="0"/>
        <v>0</v>
      </c>
      <c r="G108" s="874">
        <f t="shared" si="5"/>
        <v>0</v>
      </c>
      <c r="H108" s="934">
        <f>+J96*G108+E108</f>
        <v>0</v>
      </c>
      <c r="I108" s="935">
        <f>+J97*G108+E108</f>
        <v>0</v>
      </c>
      <c r="J108" s="931">
        <f t="shared" si="7"/>
        <v>0</v>
      </c>
      <c r="K108" s="931"/>
      <c r="L108" s="955"/>
      <c r="M108" s="931">
        <f t="shared" si="1"/>
        <v>0</v>
      </c>
      <c r="N108" s="955"/>
      <c r="O108" s="931">
        <f t="shared" si="2"/>
        <v>0</v>
      </c>
      <c r="P108" s="931">
        <f t="shared" si="3"/>
        <v>0</v>
      </c>
      <c r="Q108" s="933"/>
    </row>
    <row r="109" spans="3:17" ht="12.75">
      <c r="C109" s="927">
        <f>IF(D95="","-",+C108+1)</f>
        <v>8</v>
      </c>
      <c r="D109" s="874">
        <f t="shared" si="4"/>
        <v>0</v>
      </c>
      <c r="E109" s="928">
        <f t="shared" si="6"/>
        <v>0</v>
      </c>
      <c r="F109" s="928">
        <f t="shared" si="0"/>
        <v>0</v>
      </c>
      <c r="G109" s="874">
        <f t="shared" si="5"/>
        <v>0</v>
      </c>
      <c r="H109" s="934">
        <f>+J96*G109+E109</f>
        <v>0</v>
      </c>
      <c r="I109" s="935">
        <f>+J97*G109+E109</f>
        <v>0</v>
      </c>
      <c r="J109" s="931">
        <f t="shared" si="7"/>
        <v>0</v>
      </c>
      <c r="K109" s="931"/>
      <c r="L109" s="955"/>
      <c r="M109" s="931">
        <f t="shared" si="1"/>
        <v>0</v>
      </c>
      <c r="N109" s="955"/>
      <c r="O109" s="931">
        <f t="shared" si="2"/>
        <v>0</v>
      </c>
      <c r="P109" s="931">
        <f t="shared" si="3"/>
        <v>0</v>
      </c>
      <c r="Q109" s="933"/>
    </row>
    <row r="110" spans="3:17" ht="12.75">
      <c r="C110" s="927">
        <f>IF(D95="","-",+C109+1)</f>
        <v>9</v>
      </c>
      <c r="D110" s="874">
        <f t="shared" si="4"/>
        <v>0</v>
      </c>
      <c r="E110" s="928">
        <f t="shared" si="6"/>
        <v>0</v>
      </c>
      <c r="F110" s="928">
        <f t="shared" si="0"/>
        <v>0</v>
      </c>
      <c r="G110" s="874">
        <f t="shared" si="5"/>
        <v>0</v>
      </c>
      <c r="H110" s="934">
        <f>+J96*G110+E110</f>
        <v>0</v>
      </c>
      <c r="I110" s="935">
        <f>+J97*G110+E110</f>
        <v>0</v>
      </c>
      <c r="J110" s="931">
        <f t="shared" si="7"/>
        <v>0</v>
      </c>
      <c r="K110" s="931"/>
      <c r="L110" s="955"/>
      <c r="M110" s="931">
        <f t="shared" si="1"/>
        <v>0</v>
      </c>
      <c r="N110" s="955"/>
      <c r="O110" s="931">
        <f t="shared" si="2"/>
        <v>0</v>
      </c>
      <c r="P110" s="931">
        <f t="shared" si="3"/>
        <v>0</v>
      </c>
      <c r="Q110" s="933"/>
    </row>
    <row r="111" spans="3:17" ht="12.75">
      <c r="C111" s="927">
        <f>IF(D95="","-",+C110+1)</f>
        <v>10</v>
      </c>
      <c r="D111" s="874">
        <f t="shared" si="4"/>
        <v>0</v>
      </c>
      <c r="E111" s="928">
        <f t="shared" si="6"/>
        <v>0</v>
      </c>
      <c r="F111" s="928">
        <f t="shared" si="0"/>
        <v>0</v>
      </c>
      <c r="G111" s="874">
        <f t="shared" si="5"/>
        <v>0</v>
      </c>
      <c r="H111" s="934">
        <f>+J96*G111+E111</f>
        <v>0</v>
      </c>
      <c r="I111" s="935">
        <f>+J97*G111+E111</f>
        <v>0</v>
      </c>
      <c r="J111" s="931">
        <f t="shared" si="7"/>
        <v>0</v>
      </c>
      <c r="K111" s="931"/>
      <c r="L111" s="955"/>
      <c r="M111" s="931">
        <f t="shared" si="1"/>
        <v>0</v>
      </c>
      <c r="N111" s="955"/>
      <c r="O111" s="931">
        <f t="shared" si="2"/>
        <v>0</v>
      </c>
      <c r="P111" s="931">
        <f t="shared" si="3"/>
        <v>0</v>
      </c>
      <c r="Q111" s="933"/>
    </row>
    <row r="112" spans="3:17" ht="12.75">
      <c r="C112" s="927">
        <f>IF(D95="","-",+C111+1)</f>
        <v>11</v>
      </c>
      <c r="D112" s="874">
        <f t="shared" si="4"/>
        <v>0</v>
      </c>
      <c r="E112" s="928">
        <f t="shared" si="6"/>
        <v>0</v>
      </c>
      <c r="F112" s="928">
        <f t="shared" si="0"/>
        <v>0</v>
      </c>
      <c r="G112" s="874">
        <f t="shared" si="5"/>
        <v>0</v>
      </c>
      <c r="H112" s="934">
        <f>+J96*G112+E112</f>
        <v>0</v>
      </c>
      <c r="I112" s="935">
        <f>+J97*G112+E112</f>
        <v>0</v>
      </c>
      <c r="J112" s="931">
        <f t="shared" si="7"/>
        <v>0</v>
      </c>
      <c r="K112" s="931"/>
      <c r="L112" s="955"/>
      <c r="M112" s="931">
        <f t="shared" si="1"/>
        <v>0</v>
      </c>
      <c r="N112" s="955"/>
      <c r="O112" s="931">
        <f t="shared" si="2"/>
        <v>0</v>
      </c>
      <c r="P112" s="931">
        <f t="shared" si="3"/>
        <v>0</v>
      </c>
      <c r="Q112" s="933"/>
    </row>
    <row r="113" spans="3:17" ht="12.75">
      <c r="C113" s="927">
        <f>IF(D95="","-",+C112+1)</f>
        <v>12</v>
      </c>
      <c r="D113" s="874">
        <f t="shared" si="4"/>
        <v>0</v>
      </c>
      <c r="E113" s="928">
        <f t="shared" si="6"/>
        <v>0</v>
      </c>
      <c r="F113" s="928">
        <f t="shared" si="0"/>
        <v>0</v>
      </c>
      <c r="G113" s="874">
        <f t="shared" si="5"/>
        <v>0</v>
      </c>
      <c r="H113" s="934">
        <f>+J96*G113+E113</f>
        <v>0</v>
      </c>
      <c r="I113" s="935">
        <f>+J97*G113+E113</f>
        <v>0</v>
      </c>
      <c r="J113" s="931">
        <f t="shared" si="7"/>
        <v>0</v>
      </c>
      <c r="K113" s="931"/>
      <c r="L113" s="955"/>
      <c r="M113" s="931">
        <f t="shared" si="1"/>
        <v>0</v>
      </c>
      <c r="N113" s="955"/>
      <c r="O113" s="931">
        <f t="shared" si="2"/>
        <v>0</v>
      </c>
      <c r="P113" s="931">
        <f t="shared" si="3"/>
        <v>0</v>
      </c>
      <c r="Q113" s="933"/>
    </row>
    <row r="114" spans="3:17" ht="12.75">
      <c r="C114" s="927">
        <f>IF(D95="","-",+C113+1)</f>
        <v>13</v>
      </c>
      <c r="D114" s="874">
        <f t="shared" si="4"/>
        <v>0</v>
      </c>
      <c r="E114" s="928">
        <f t="shared" si="6"/>
        <v>0</v>
      </c>
      <c r="F114" s="928">
        <f t="shared" si="0"/>
        <v>0</v>
      </c>
      <c r="G114" s="874">
        <f t="shared" si="5"/>
        <v>0</v>
      </c>
      <c r="H114" s="934">
        <f>+J96*G114+E114</f>
        <v>0</v>
      </c>
      <c r="I114" s="935">
        <f>+J97*G114+E114</f>
        <v>0</v>
      </c>
      <c r="J114" s="931">
        <f t="shared" si="7"/>
        <v>0</v>
      </c>
      <c r="K114" s="931"/>
      <c r="L114" s="955"/>
      <c r="M114" s="931">
        <f t="shared" si="1"/>
        <v>0</v>
      </c>
      <c r="N114" s="955"/>
      <c r="O114" s="931">
        <f t="shared" si="2"/>
        <v>0</v>
      </c>
      <c r="P114" s="931">
        <f t="shared" si="3"/>
        <v>0</v>
      </c>
      <c r="Q114" s="933"/>
    </row>
    <row r="115" spans="3:17" ht="12.75">
      <c r="C115" s="927">
        <f>IF(D95="","-",+C114+1)</f>
        <v>14</v>
      </c>
      <c r="D115" s="874">
        <f t="shared" si="4"/>
        <v>0</v>
      </c>
      <c r="E115" s="928">
        <f t="shared" si="6"/>
        <v>0</v>
      </c>
      <c r="F115" s="928">
        <f t="shared" si="0"/>
        <v>0</v>
      </c>
      <c r="G115" s="874">
        <f t="shared" si="5"/>
        <v>0</v>
      </c>
      <c r="H115" s="934">
        <f>+J96*G115+E115</f>
        <v>0</v>
      </c>
      <c r="I115" s="935">
        <f>+J97*G115+E115</f>
        <v>0</v>
      </c>
      <c r="J115" s="931">
        <f t="shared" si="7"/>
        <v>0</v>
      </c>
      <c r="K115" s="931"/>
      <c r="L115" s="955"/>
      <c r="M115" s="931">
        <f t="shared" si="1"/>
        <v>0</v>
      </c>
      <c r="N115" s="955"/>
      <c r="O115" s="931">
        <f t="shared" si="2"/>
        <v>0</v>
      </c>
      <c r="P115" s="931">
        <f t="shared" si="3"/>
        <v>0</v>
      </c>
      <c r="Q115" s="933"/>
    </row>
    <row r="116" spans="3:17" ht="12.75">
      <c r="C116" s="927">
        <f>IF(D95="","-",+C115+1)</f>
        <v>15</v>
      </c>
      <c r="D116" s="874">
        <f t="shared" si="4"/>
        <v>0</v>
      </c>
      <c r="E116" s="928">
        <f t="shared" si="6"/>
        <v>0</v>
      </c>
      <c r="F116" s="928">
        <f t="shared" si="0"/>
        <v>0</v>
      </c>
      <c r="G116" s="874">
        <f t="shared" si="5"/>
        <v>0</v>
      </c>
      <c r="H116" s="934">
        <f>+J96*G116+E116</f>
        <v>0</v>
      </c>
      <c r="I116" s="935">
        <f>+J97*G116+E116</f>
        <v>0</v>
      </c>
      <c r="J116" s="931">
        <f t="shared" si="7"/>
        <v>0</v>
      </c>
      <c r="K116" s="931"/>
      <c r="L116" s="955"/>
      <c r="M116" s="931">
        <f t="shared" si="1"/>
        <v>0</v>
      </c>
      <c r="N116" s="955"/>
      <c r="O116" s="931">
        <f t="shared" si="2"/>
        <v>0</v>
      </c>
      <c r="P116" s="931">
        <f t="shared" si="3"/>
        <v>0</v>
      </c>
      <c r="Q116" s="933"/>
    </row>
    <row r="117" spans="3:17" ht="12.75">
      <c r="C117" s="927">
        <f>IF(D95="","-",+C116+1)</f>
        <v>16</v>
      </c>
      <c r="D117" s="874">
        <f t="shared" si="4"/>
        <v>0</v>
      </c>
      <c r="E117" s="928">
        <f t="shared" si="6"/>
        <v>0</v>
      </c>
      <c r="F117" s="928">
        <f t="shared" si="0"/>
        <v>0</v>
      </c>
      <c r="G117" s="874">
        <f t="shared" si="5"/>
        <v>0</v>
      </c>
      <c r="H117" s="934">
        <f>+J96*G117+E117</f>
        <v>0</v>
      </c>
      <c r="I117" s="935">
        <f>+J97*G117+E117</f>
        <v>0</v>
      </c>
      <c r="J117" s="931">
        <f t="shared" si="7"/>
        <v>0</v>
      </c>
      <c r="K117" s="931"/>
      <c r="L117" s="955"/>
      <c r="M117" s="931">
        <f t="shared" si="1"/>
        <v>0</v>
      </c>
      <c r="N117" s="955"/>
      <c r="O117" s="931">
        <f t="shared" si="2"/>
        <v>0</v>
      </c>
      <c r="P117" s="931">
        <f t="shared" si="3"/>
        <v>0</v>
      </c>
      <c r="Q117" s="933"/>
    </row>
    <row r="118" spans="3:17" ht="12.75">
      <c r="C118" s="927">
        <f>IF(D95="","-",+C117+1)</f>
        <v>17</v>
      </c>
      <c r="D118" s="874">
        <f t="shared" si="4"/>
        <v>0</v>
      </c>
      <c r="E118" s="928">
        <f t="shared" si="6"/>
        <v>0</v>
      </c>
      <c r="F118" s="928">
        <f t="shared" si="0"/>
        <v>0</v>
      </c>
      <c r="G118" s="874">
        <f t="shared" si="5"/>
        <v>0</v>
      </c>
      <c r="H118" s="934">
        <f>+J96*G118+E118</f>
        <v>0</v>
      </c>
      <c r="I118" s="935">
        <f>+J97*G118+E118</f>
        <v>0</v>
      </c>
      <c r="J118" s="931">
        <f t="shared" si="7"/>
        <v>0</v>
      </c>
      <c r="K118" s="931"/>
      <c r="L118" s="955"/>
      <c r="M118" s="931">
        <f t="shared" si="1"/>
        <v>0</v>
      </c>
      <c r="N118" s="955"/>
      <c r="O118" s="931">
        <f t="shared" si="2"/>
        <v>0</v>
      </c>
      <c r="P118" s="931">
        <f t="shared" si="3"/>
        <v>0</v>
      </c>
      <c r="Q118" s="933"/>
    </row>
    <row r="119" spans="3:17" ht="12.75">
      <c r="C119" s="927">
        <f>IF(D95="","-",+C118+1)</f>
        <v>18</v>
      </c>
      <c r="D119" s="874">
        <f t="shared" si="4"/>
        <v>0</v>
      </c>
      <c r="E119" s="928">
        <f t="shared" si="6"/>
        <v>0</v>
      </c>
      <c r="F119" s="928">
        <f t="shared" si="0"/>
        <v>0</v>
      </c>
      <c r="G119" s="874">
        <f t="shared" si="5"/>
        <v>0</v>
      </c>
      <c r="H119" s="934">
        <f>+J96*G119+E119</f>
        <v>0</v>
      </c>
      <c r="I119" s="935">
        <f>+J97*G119+E119</f>
        <v>0</v>
      </c>
      <c r="J119" s="931">
        <f t="shared" si="7"/>
        <v>0</v>
      </c>
      <c r="K119" s="931"/>
      <c r="L119" s="955"/>
      <c r="M119" s="931">
        <f t="shared" si="1"/>
        <v>0</v>
      </c>
      <c r="N119" s="955"/>
      <c r="O119" s="931">
        <f t="shared" si="2"/>
        <v>0</v>
      </c>
      <c r="P119" s="931">
        <f t="shared" si="3"/>
        <v>0</v>
      </c>
      <c r="Q119" s="933"/>
    </row>
    <row r="120" spans="3:17" ht="12.75">
      <c r="C120" s="927">
        <f>IF(D95="","-",+C119+1)</f>
        <v>19</v>
      </c>
      <c r="D120" s="874">
        <f t="shared" si="4"/>
        <v>0</v>
      </c>
      <c r="E120" s="928">
        <f t="shared" si="6"/>
        <v>0</v>
      </c>
      <c r="F120" s="928">
        <f t="shared" si="0"/>
        <v>0</v>
      </c>
      <c r="G120" s="874">
        <f t="shared" si="5"/>
        <v>0</v>
      </c>
      <c r="H120" s="934">
        <f>+J96*G120+E120</f>
        <v>0</v>
      </c>
      <c r="I120" s="935">
        <f>+J97*G120+E120</f>
        <v>0</v>
      </c>
      <c r="J120" s="931">
        <f t="shared" si="7"/>
        <v>0</v>
      </c>
      <c r="K120" s="931"/>
      <c r="L120" s="955"/>
      <c r="M120" s="931">
        <f t="shared" si="1"/>
        <v>0</v>
      </c>
      <c r="N120" s="955"/>
      <c r="O120" s="931">
        <f t="shared" si="2"/>
        <v>0</v>
      </c>
      <c r="P120" s="931">
        <f t="shared" si="3"/>
        <v>0</v>
      </c>
      <c r="Q120" s="933"/>
    </row>
    <row r="121" spans="3:17" ht="12.75">
      <c r="C121" s="927">
        <f>IF(D95="","-",+C120+1)</f>
        <v>20</v>
      </c>
      <c r="D121" s="874">
        <f t="shared" si="4"/>
        <v>0</v>
      </c>
      <c r="E121" s="928">
        <f t="shared" si="6"/>
        <v>0</v>
      </c>
      <c r="F121" s="928">
        <f t="shared" si="0"/>
        <v>0</v>
      </c>
      <c r="G121" s="874">
        <f t="shared" si="5"/>
        <v>0</v>
      </c>
      <c r="H121" s="934">
        <f>+J96*G121+E121</f>
        <v>0</v>
      </c>
      <c r="I121" s="935">
        <f>+J97*G121+E121</f>
        <v>0</v>
      </c>
      <c r="J121" s="931">
        <f t="shared" si="7"/>
        <v>0</v>
      </c>
      <c r="K121" s="931"/>
      <c r="L121" s="955"/>
      <c r="M121" s="931">
        <f t="shared" si="1"/>
        <v>0</v>
      </c>
      <c r="N121" s="955"/>
      <c r="O121" s="931">
        <f t="shared" si="2"/>
        <v>0</v>
      </c>
      <c r="P121" s="931">
        <f t="shared" si="3"/>
        <v>0</v>
      </c>
      <c r="Q121" s="933"/>
    </row>
    <row r="122" spans="3:17" ht="12.75">
      <c r="C122" s="927">
        <f>IF(D95="","-",+C121+1)</f>
        <v>21</v>
      </c>
      <c r="D122" s="874">
        <f t="shared" si="4"/>
        <v>0</v>
      </c>
      <c r="E122" s="928">
        <f t="shared" si="6"/>
        <v>0</v>
      </c>
      <c r="F122" s="928">
        <f t="shared" si="0"/>
        <v>0</v>
      </c>
      <c r="G122" s="874">
        <f t="shared" si="5"/>
        <v>0</v>
      </c>
      <c r="H122" s="934">
        <f>+J96*G122+E122</f>
        <v>0</v>
      </c>
      <c r="I122" s="935">
        <f>+J97*G122+E122</f>
        <v>0</v>
      </c>
      <c r="J122" s="931">
        <f t="shared" si="7"/>
        <v>0</v>
      </c>
      <c r="K122" s="931"/>
      <c r="L122" s="955"/>
      <c r="M122" s="931">
        <f t="shared" si="1"/>
        <v>0</v>
      </c>
      <c r="N122" s="955"/>
      <c r="O122" s="931">
        <f t="shared" si="2"/>
        <v>0</v>
      </c>
      <c r="P122" s="931">
        <f t="shared" si="3"/>
        <v>0</v>
      </c>
      <c r="Q122" s="933"/>
    </row>
    <row r="123" spans="3:17" ht="12.75">
      <c r="C123" s="927">
        <f>IF(D95="","-",+C122+1)</f>
        <v>22</v>
      </c>
      <c r="D123" s="874">
        <f t="shared" si="4"/>
        <v>0</v>
      </c>
      <c r="E123" s="928">
        <f t="shared" si="6"/>
        <v>0</v>
      </c>
      <c r="F123" s="928">
        <f t="shared" si="0"/>
        <v>0</v>
      </c>
      <c r="G123" s="874">
        <f t="shared" si="5"/>
        <v>0</v>
      </c>
      <c r="H123" s="934">
        <f>+J96*G123+E123</f>
        <v>0</v>
      </c>
      <c r="I123" s="935">
        <f>+J97*G123+E123</f>
        <v>0</v>
      </c>
      <c r="J123" s="931">
        <f t="shared" si="7"/>
        <v>0</v>
      </c>
      <c r="K123" s="931"/>
      <c r="L123" s="955"/>
      <c r="M123" s="931">
        <f t="shared" si="1"/>
        <v>0</v>
      </c>
      <c r="N123" s="955"/>
      <c r="O123" s="931">
        <f t="shared" si="2"/>
        <v>0</v>
      </c>
      <c r="P123" s="931">
        <f t="shared" si="3"/>
        <v>0</v>
      </c>
      <c r="Q123" s="933"/>
    </row>
    <row r="124" spans="3:17" ht="12.75">
      <c r="C124" s="927">
        <f>IF(D95="","-",+C123+1)</f>
        <v>23</v>
      </c>
      <c r="D124" s="874">
        <f t="shared" si="4"/>
        <v>0</v>
      </c>
      <c r="E124" s="928">
        <f t="shared" si="6"/>
        <v>0</v>
      </c>
      <c r="F124" s="928">
        <f t="shared" si="0"/>
        <v>0</v>
      </c>
      <c r="G124" s="874">
        <f t="shared" si="5"/>
        <v>0</v>
      </c>
      <c r="H124" s="934">
        <f>+J96*G124+E124</f>
        <v>0</v>
      </c>
      <c r="I124" s="935">
        <f>+J97*G124+E124</f>
        <v>0</v>
      </c>
      <c r="J124" s="931">
        <f t="shared" si="7"/>
        <v>0</v>
      </c>
      <c r="K124" s="931"/>
      <c r="L124" s="955"/>
      <c r="M124" s="931">
        <f t="shared" si="1"/>
        <v>0</v>
      </c>
      <c r="N124" s="955"/>
      <c r="O124" s="931">
        <f t="shared" si="2"/>
        <v>0</v>
      </c>
      <c r="P124" s="931">
        <f t="shared" si="3"/>
        <v>0</v>
      </c>
      <c r="Q124" s="933"/>
    </row>
    <row r="125" spans="3:17" ht="12.75">
      <c r="C125" s="927">
        <f>IF(D95="","-",+C124+1)</f>
        <v>24</v>
      </c>
      <c r="D125" s="874">
        <f t="shared" si="4"/>
        <v>0</v>
      </c>
      <c r="E125" s="928">
        <f t="shared" si="6"/>
        <v>0</v>
      </c>
      <c r="F125" s="928">
        <f t="shared" si="0"/>
        <v>0</v>
      </c>
      <c r="G125" s="874">
        <f t="shared" si="5"/>
        <v>0</v>
      </c>
      <c r="H125" s="934">
        <f>+J96*G125+E125</f>
        <v>0</v>
      </c>
      <c r="I125" s="935">
        <f>+J97*G125+E125</f>
        <v>0</v>
      </c>
      <c r="J125" s="931">
        <f t="shared" si="7"/>
        <v>0</v>
      </c>
      <c r="K125" s="931"/>
      <c r="L125" s="955"/>
      <c r="M125" s="931">
        <f t="shared" si="1"/>
        <v>0</v>
      </c>
      <c r="N125" s="955"/>
      <c r="O125" s="931">
        <f t="shared" si="2"/>
        <v>0</v>
      </c>
      <c r="P125" s="931">
        <f t="shared" si="3"/>
        <v>0</v>
      </c>
      <c r="Q125" s="933"/>
    </row>
    <row r="126" spans="3:17" ht="12.75">
      <c r="C126" s="927">
        <f>IF(D95="","-",+C125+1)</f>
        <v>25</v>
      </c>
      <c r="D126" s="874">
        <f t="shared" si="4"/>
        <v>0</v>
      </c>
      <c r="E126" s="928">
        <f t="shared" si="6"/>
        <v>0</v>
      </c>
      <c r="F126" s="928">
        <f t="shared" si="0"/>
        <v>0</v>
      </c>
      <c r="G126" s="874">
        <f t="shared" si="5"/>
        <v>0</v>
      </c>
      <c r="H126" s="934">
        <f>+J96*G126+E126</f>
        <v>0</v>
      </c>
      <c r="I126" s="935">
        <f>+J97*G126+E126</f>
        <v>0</v>
      </c>
      <c r="J126" s="931">
        <f t="shared" si="7"/>
        <v>0</v>
      </c>
      <c r="K126" s="931"/>
      <c r="L126" s="955"/>
      <c r="M126" s="931">
        <f t="shared" si="1"/>
        <v>0</v>
      </c>
      <c r="N126" s="955"/>
      <c r="O126" s="931">
        <f t="shared" si="2"/>
        <v>0</v>
      </c>
      <c r="P126" s="931">
        <f t="shared" si="3"/>
        <v>0</v>
      </c>
      <c r="Q126" s="933"/>
    </row>
    <row r="127" spans="3:17" ht="12.75">
      <c r="C127" s="927">
        <f>IF(D95="","-",+C126+1)</f>
        <v>26</v>
      </c>
      <c r="D127" s="874">
        <f t="shared" si="4"/>
        <v>0</v>
      </c>
      <c r="E127" s="928">
        <f t="shared" si="6"/>
        <v>0</v>
      </c>
      <c r="F127" s="928">
        <f t="shared" si="0"/>
        <v>0</v>
      </c>
      <c r="G127" s="874">
        <f t="shared" si="5"/>
        <v>0</v>
      </c>
      <c r="H127" s="934">
        <f>+J96*G127+E127</f>
        <v>0</v>
      </c>
      <c r="I127" s="935">
        <f>+J97*G127+E127</f>
        <v>0</v>
      </c>
      <c r="J127" s="931">
        <f t="shared" si="7"/>
        <v>0</v>
      </c>
      <c r="K127" s="931"/>
      <c r="L127" s="955"/>
      <c r="M127" s="931">
        <f t="shared" si="1"/>
        <v>0</v>
      </c>
      <c r="N127" s="955"/>
      <c r="O127" s="931">
        <f t="shared" si="2"/>
        <v>0</v>
      </c>
      <c r="P127" s="931">
        <f t="shared" si="3"/>
        <v>0</v>
      </c>
      <c r="Q127" s="933"/>
    </row>
    <row r="128" spans="3:17" ht="12.75">
      <c r="C128" s="927">
        <f>IF(D95="","-",+C127+1)</f>
        <v>27</v>
      </c>
      <c r="D128" s="874">
        <f t="shared" si="4"/>
        <v>0</v>
      </c>
      <c r="E128" s="928">
        <f t="shared" si="6"/>
        <v>0</v>
      </c>
      <c r="F128" s="928">
        <f t="shared" si="0"/>
        <v>0</v>
      </c>
      <c r="G128" s="874">
        <f t="shared" si="5"/>
        <v>0</v>
      </c>
      <c r="H128" s="934">
        <f>+J96*G128+E128</f>
        <v>0</v>
      </c>
      <c r="I128" s="935">
        <f>+J97*G128+E128</f>
        <v>0</v>
      </c>
      <c r="J128" s="931">
        <f t="shared" si="7"/>
        <v>0</v>
      </c>
      <c r="K128" s="931"/>
      <c r="L128" s="955"/>
      <c r="M128" s="931">
        <f t="shared" si="1"/>
        <v>0</v>
      </c>
      <c r="N128" s="955"/>
      <c r="O128" s="931">
        <f t="shared" si="2"/>
        <v>0</v>
      </c>
      <c r="P128" s="931">
        <f t="shared" si="3"/>
        <v>0</v>
      </c>
      <c r="Q128" s="933"/>
    </row>
    <row r="129" spans="3:17" ht="12.75">
      <c r="C129" s="927">
        <f>IF(D95="","-",+C128+1)</f>
        <v>28</v>
      </c>
      <c r="D129" s="874">
        <f t="shared" si="4"/>
        <v>0</v>
      </c>
      <c r="E129" s="928">
        <f t="shared" si="6"/>
        <v>0</v>
      </c>
      <c r="F129" s="928">
        <f t="shared" si="0"/>
        <v>0</v>
      </c>
      <c r="G129" s="874">
        <f t="shared" si="5"/>
        <v>0</v>
      </c>
      <c r="H129" s="934">
        <f>+J96*G129+E129</f>
        <v>0</v>
      </c>
      <c r="I129" s="935">
        <f>+J97*G129+E129</f>
        <v>0</v>
      </c>
      <c r="J129" s="931">
        <f t="shared" si="7"/>
        <v>0</v>
      </c>
      <c r="K129" s="931"/>
      <c r="L129" s="955"/>
      <c r="M129" s="931">
        <f t="shared" si="1"/>
        <v>0</v>
      </c>
      <c r="N129" s="955"/>
      <c r="O129" s="931">
        <f t="shared" si="2"/>
        <v>0</v>
      </c>
      <c r="P129" s="931">
        <f t="shared" si="3"/>
        <v>0</v>
      </c>
      <c r="Q129" s="933"/>
    </row>
    <row r="130" spans="3:17" ht="12.75">
      <c r="C130" s="927">
        <f>IF(D95="","-",+C129+1)</f>
        <v>29</v>
      </c>
      <c r="D130" s="874">
        <f t="shared" si="4"/>
        <v>0</v>
      </c>
      <c r="E130" s="928">
        <f t="shared" si="6"/>
        <v>0</v>
      </c>
      <c r="F130" s="928">
        <f t="shared" si="0"/>
        <v>0</v>
      </c>
      <c r="G130" s="874">
        <f t="shared" si="5"/>
        <v>0</v>
      </c>
      <c r="H130" s="934">
        <f>+J96*G130+E130</f>
        <v>0</v>
      </c>
      <c r="I130" s="935">
        <f>+J97*G130+E130</f>
        <v>0</v>
      </c>
      <c r="J130" s="931">
        <f t="shared" si="7"/>
        <v>0</v>
      </c>
      <c r="K130" s="931"/>
      <c r="L130" s="955"/>
      <c r="M130" s="931">
        <f t="shared" si="1"/>
        <v>0</v>
      </c>
      <c r="N130" s="955"/>
      <c r="O130" s="931">
        <f t="shared" si="2"/>
        <v>0</v>
      </c>
      <c r="P130" s="931">
        <f t="shared" si="3"/>
        <v>0</v>
      </c>
      <c r="Q130" s="933"/>
    </row>
    <row r="131" spans="3:17" ht="12.75">
      <c r="C131" s="927">
        <f>IF(D95="","-",+C130+1)</f>
        <v>30</v>
      </c>
      <c r="D131" s="874">
        <f t="shared" si="4"/>
        <v>0</v>
      </c>
      <c r="E131" s="928">
        <f t="shared" si="6"/>
        <v>0</v>
      </c>
      <c r="F131" s="928">
        <f t="shared" si="0"/>
        <v>0</v>
      </c>
      <c r="G131" s="874">
        <f t="shared" si="5"/>
        <v>0</v>
      </c>
      <c r="H131" s="934">
        <f>+J96*G131+E131</f>
        <v>0</v>
      </c>
      <c r="I131" s="935">
        <f>+J97*G131+E131</f>
        <v>0</v>
      </c>
      <c r="J131" s="931">
        <f t="shared" si="7"/>
        <v>0</v>
      </c>
      <c r="K131" s="931"/>
      <c r="L131" s="955"/>
      <c r="M131" s="931">
        <f t="shared" si="1"/>
        <v>0</v>
      </c>
      <c r="N131" s="955"/>
      <c r="O131" s="931">
        <f t="shared" si="2"/>
        <v>0</v>
      </c>
      <c r="P131" s="931">
        <f t="shared" si="3"/>
        <v>0</v>
      </c>
      <c r="Q131" s="933"/>
    </row>
    <row r="132" spans="3:17" ht="12.75">
      <c r="C132" s="927">
        <f>IF(D95="","-",+C131+1)</f>
        <v>31</v>
      </c>
      <c r="D132" s="874">
        <f t="shared" si="4"/>
        <v>0</v>
      </c>
      <c r="E132" s="928">
        <f t="shared" si="6"/>
        <v>0</v>
      </c>
      <c r="F132" s="928">
        <f t="shared" si="0"/>
        <v>0</v>
      </c>
      <c r="G132" s="874">
        <f t="shared" si="5"/>
        <v>0</v>
      </c>
      <c r="H132" s="934">
        <f>+J96*G132+E132</f>
        <v>0</v>
      </c>
      <c r="I132" s="935">
        <f>+J97*G132+E132</f>
        <v>0</v>
      </c>
      <c r="J132" s="931">
        <f t="shared" si="7"/>
        <v>0</v>
      </c>
      <c r="K132" s="931"/>
      <c r="L132" s="955"/>
      <c r="M132" s="931">
        <f t="shared" si="1"/>
        <v>0</v>
      </c>
      <c r="N132" s="955"/>
      <c r="O132" s="931">
        <f t="shared" si="2"/>
        <v>0</v>
      </c>
      <c r="P132" s="931">
        <f t="shared" si="3"/>
        <v>0</v>
      </c>
      <c r="Q132" s="933"/>
    </row>
    <row r="133" spans="3:17" ht="12.75">
      <c r="C133" s="927">
        <f>IF(D95="","-",+C132+1)</f>
        <v>32</v>
      </c>
      <c r="D133" s="874">
        <f t="shared" si="4"/>
        <v>0</v>
      </c>
      <c r="E133" s="928">
        <f t="shared" si="6"/>
        <v>0</v>
      </c>
      <c r="F133" s="928">
        <f t="shared" si="0"/>
        <v>0</v>
      </c>
      <c r="G133" s="874">
        <f t="shared" si="5"/>
        <v>0</v>
      </c>
      <c r="H133" s="934">
        <f>+J96*G133+E133</f>
        <v>0</v>
      </c>
      <c r="I133" s="935">
        <f>+J97*G133+E133</f>
        <v>0</v>
      </c>
      <c r="J133" s="931">
        <f t="shared" si="7"/>
        <v>0</v>
      </c>
      <c r="K133" s="931"/>
      <c r="L133" s="955"/>
      <c r="M133" s="931">
        <f t="shared" si="1"/>
        <v>0</v>
      </c>
      <c r="N133" s="955"/>
      <c r="O133" s="931">
        <f t="shared" si="2"/>
        <v>0</v>
      </c>
      <c r="P133" s="931">
        <f t="shared" si="3"/>
        <v>0</v>
      </c>
      <c r="Q133" s="933"/>
    </row>
    <row r="134" spans="3:17" ht="12.75">
      <c r="C134" s="927">
        <f>IF(D95="","-",+C133+1)</f>
        <v>33</v>
      </c>
      <c r="D134" s="874">
        <f t="shared" si="4"/>
        <v>0</v>
      </c>
      <c r="E134" s="928">
        <f t="shared" si="6"/>
        <v>0</v>
      </c>
      <c r="F134" s="928">
        <f t="shared" si="0"/>
        <v>0</v>
      </c>
      <c r="G134" s="874">
        <f t="shared" si="5"/>
        <v>0</v>
      </c>
      <c r="H134" s="934">
        <f>+J96*G134+E134</f>
        <v>0</v>
      </c>
      <c r="I134" s="935">
        <f>+J97*G134+E134</f>
        <v>0</v>
      </c>
      <c r="J134" s="931">
        <f t="shared" si="7"/>
        <v>0</v>
      </c>
      <c r="K134" s="931"/>
      <c r="L134" s="955"/>
      <c r="M134" s="931">
        <f t="shared" si="1"/>
        <v>0</v>
      </c>
      <c r="N134" s="955"/>
      <c r="O134" s="931">
        <f t="shared" si="2"/>
        <v>0</v>
      </c>
      <c r="P134" s="931">
        <f t="shared" si="3"/>
        <v>0</v>
      </c>
      <c r="Q134" s="933"/>
    </row>
    <row r="135" spans="3:17" ht="12.75">
      <c r="C135" s="927">
        <f>IF(D95="","-",+C134+1)</f>
        <v>34</v>
      </c>
      <c r="D135" s="874">
        <f t="shared" si="4"/>
        <v>0</v>
      </c>
      <c r="E135" s="928">
        <f t="shared" si="6"/>
        <v>0</v>
      </c>
      <c r="F135" s="928">
        <f t="shared" si="0"/>
        <v>0</v>
      </c>
      <c r="G135" s="874">
        <f t="shared" si="5"/>
        <v>0</v>
      </c>
      <c r="H135" s="934">
        <f>+J96*G135+E135</f>
        <v>0</v>
      </c>
      <c r="I135" s="935">
        <f>+J97*G135+E135</f>
        <v>0</v>
      </c>
      <c r="J135" s="931">
        <f t="shared" si="7"/>
        <v>0</v>
      </c>
      <c r="K135" s="931"/>
      <c r="L135" s="955"/>
      <c r="M135" s="931">
        <f t="shared" si="1"/>
        <v>0</v>
      </c>
      <c r="N135" s="955"/>
      <c r="O135" s="931">
        <f t="shared" si="2"/>
        <v>0</v>
      </c>
      <c r="P135" s="931">
        <f t="shared" si="3"/>
        <v>0</v>
      </c>
      <c r="Q135" s="933"/>
    </row>
    <row r="136" spans="3:17" ht="12.75">
      <c r="C136" s="927">
        <f>IF(D95="","-",+C135+1)</f>
        <v>35</v>
      </c>
      <c r="D136" s="874">
        <f t="shared" si="4"/>
        <v>0</v>
      </c>
      <c r="E136" s="928">
        <f t="shared" si="6"/>
        <v>0</v>
      </c>
      <c r="F136" s="928">
        <f t="shared" si="0"/>
        <v>0</v>
      </c>
      <c r="G136" s="874">
        <f t="shared" si="5"/>
        <v>0</v>
      </c>
      <c r="H136" s="934">
        <f>+J96*G136+E136</f>
        <v>0</v>
      </c>
      <c r="I136" s="935">
        <f>+J97*G136+E136</f>
        <v>0</v>
      </c>
      <c r="J136" s="931">
        <f t="shared" si="7"/>
        <v>0</v>
      </c>
      <c r="K136" s="931"/>
      <c r="L136" s="955"/>
      <c r="M136" s="931">
        <f t="shared" si="1"/>
        <v>0</v>
      </c>
      <c r="N136" s="955"/>
      <c r="O136" s="931">
        <f t="shared" si="2"/>
        <v>0</v>
      </c>
      <c r="P136" s="931">
        <f t="shared" si="3"/>
        <v>0</v>
      </c>
      <c r="Q136" s="933"/>
    </row>
    <row r="137" spans="3:17" ht="12.75">
      <c r="C137" s="927">
        <f>IF(D95="","-",+C136+1)</f>
        <v>36</v>
      </c>
      <c r="D137" s="874">
        <f t="shared" si="4"/>
        <v>0</v>
      </c>
      <c r="E137" s="928">
        <f t="shared" si="6"/>
        <v>0</v>
      </c>
      <c r="F137" s="928">
        <f t="shared" si="0"/>
        <v>0</v>
      </c>
      <c r="G137" s="874">
        <f t="shared" si="5"/>
        <v>0</v>
      </c>
      <c r="H137" s="934">
        <f>+J96*G137+E137</f>
        <v>0</v>
      </c>
      <c r="I137" s="935">
        <f>+J97*G137+E137</f>
        <v>0</v>
      </c>
      <c r="J137" s="931">
        <f t="shared" si="7"/>
        <v>0</v>
      </c>
      <c r="K137" s="931"/>
      <c r="L137" s="955"/>
      <c r="M137" s="931">
        <f t="shared" si="1"/>
        <v>0</v>
      </c>
      <c r="N137" s="955"/>
      <c r="O137" s="931">
        <f t="shared" si="2"/>
        <v>0</v>
      </c>
      <c r="P137" s="931">
        <f t="shared" si="3"/>
        <v>0</v>
      </c>
      <c r="Q137" s="933"/>
    </row>
    <row r="138" spans="3:17" ht="12.75">
      <c r="C138" s="927">
        <f>IF(D95="","-",+C137+1)</f>
        <v>37</v>
      </c>
      <c r="D138" s="874">
        <f t="shared" si="4"/>
        <v>0</v>
      </c>
      <c r="E138" s="928">
        <f t="shared" si="6"/>
        <v>0</v>
      </c>
      <c r="F138" s="928">
        <f t="shared" si="0"/>
        <v>0</v>
      </c>
      <c r="G138" s="874">
        <f t="shared" si="5"/>
        <v>0</v>
      </c>
      <c r="H138" s="934">
        <f>+J96*G138+E138</f>
        <v>0</v>
      </c>
      <c r="I138" s="935">
        <f>+J97*G138+E138</f>
        <v>0</v>
      </c>
      <c r="J138" s="931">
        <f t="shared" si="7"/>
        <v>0</v>
      </c>
      <c r="K138" s="931"/>
      <c r="L138" s="955"/>
      <c r="M138" s="931">
        <f t="shared" si="1"/>
        <v>0</v>
      </c>
      <c r="N138" s="955"/>
      <c r="O138" s="931">
        <f t="shared" si="2"/>
        <v>0</v>
      </c>
      <c r="P138" s="931">
        <f t="shared" si="3"/>
        <v>0</v>
      </c>
      <c r="Q138" s="933"/>
    </row>
    <row r="139" spans="3:17" ht="12.75">
      <c r="C139" s="927">
        <f>IF(D95="","-",+C138+1)</f>
        <v>38</v>
      </c>
      <c r="D139" s="874">
        <f t="shared" si="4"/>
        <v>0</v>
      </c>
      <c r="E139" s="928">
        <f t="shared" si="6"/>
        <v>0</v>
      </c>
      <c r="F139" s="928">
        <f t="shared" si="0"/>
        <v>0</v>
      </c>
      <c r="G139" s="874">
        <f t="shared" si="5"/>
        <v>0</v>
      </c>
      <c r="H139" s="934">
        <f>+J96*G139+E139</f>
        <v>0</v>
      </c>
      <c r="I139" s="935">
        <f>+J97*G139+E139</f>
        <v>0</v>
      </c>
      <c r="J139" s="931">
        <f t="shared" si="7"/>
        <v>0</v>
      </c>
      <c r="K139" s="931"/>
      <c r="L139" s="955"/>
      <c r="M139" s="931">
        <f t="shared" si="1"/>
        <v>0</v>
      </c>
      <c r="N139" s="955"/>
      <c r="O139" s="931">
        <f t="shared" si="2"/>
        <v>0</v>
      </c>
      <c r="P139" s="931">
        <f t="shared" si="3"/>
        <v>0</v>
      </c>
      <c r="Q139" s="933"/>
    </row>
    <row r="140" spans="3:17" ht="12.75">
      <c r="C140" s="927">
        <f>IF(D95="","-",+C139+1)</f>
        <v>39</v>
      </c>
      <c r="D140" s="874">
        <f t="shared" si="4"/>
        <v>0</v>
      </c>
      <c r="E140" s="928">
        <f t="shared" si="6"/>
        <v>0</v>
      </c>
      <c r="F140" s="928">
        <f t="shared" si="0"/>
        <v>0</v>
      </c>
      <c r="G140" s="874">
        <f t="shared" si="5"/>
        <v>0</v>
      </c>
      <c r="H140" s="934">
        <f>+J96*G140+E140</f>
        <v>0</v>
      </c>
      <c r="I140" s="935">
        <f>+J97*G140+E140</f>
        <v>0</v>
      </c>
      <c r="J140" s="931">
        <f t="shared" si="7"/>
        <v>0</v>
      </c>
      <c r="K140" s="931"/>
      <c r="L140" s="955"/>
      <c r="M140" s="931">
        <f t="shared" si="1"/>
        <v>0</v>
      </c>
      <c r="N140" s="955"/>
      <c r="O140" s="931">
        <f t="shared" si="2"/>
        <v>0</v>
      </c>
      <c r="P140" s="931">
        <f t="shared" si="3"/>
        <v>0</v>
      </c>
      <c r="Q140" s="933"/>
    </row>
    <row r="141" spans="3:17" ht="12.75">
      <c r="C141" s="927">
        <f>IF(D95="","-",+C140+1)</f>
        <v>40</v>
      </c>
      <c r="D141" s="874">
        <f t="shared" si="4"/>
        <v>0</v>
      </c>
      <c r="E141" s="928">
        <f t="shared" si="6"/>
        <v>0</v>
      </c>
      <c r="F141" s="928">
        <f t="shared" si="0"/>
        <v>0</v>
      </c>
      <c r="G141" s="874">
        <f t="shared" si="5"/>
        <v>0</v>
      </c>
      <c r="H141" s="934">
        <f>+J96*G141+E141</f>
        <v>0</v>
      </c>
      <c r="I141" s="935">
        <f>+J97*G141+E141</f>
        <v>0</v>
      </c>
      <c r="J141" s="931">
        <f t="shared" si="7"/>
        <v>0</v>
      </c>
      <c r="K141" s="931"/>
      <c r="L141" s="955"/>
      <c r="M141" s="931">
        <f t="shared" si="1"/>
        <v>0</v>
      </c>
      <c r="N141" s="955"/>
      <c r="O141" s="931">
        <f t="shared" si="2"/>
        <v>0</v>
      </c>
      <c r="P141" s="931">
        <f t="shared" si="3"/>
        <v>0</v>
      </c>
      <c r="Q141" s="933"/>
    </row>
    <row r="142" spans="3:17" ht="12.75">
      <c r="C142" s="927">
        <f>IF(D95="","-",+C141+1)</f>
        <v>41</v>
      </c>
      <c r="D142" s="874">
        <f t="shared" si="4"/>
        <v>0</v>
      </c>
      <c r="E142" s="928">
        <f t="shared" si="6"/>
        <v>0</v>
      </c>
      <c r="F142" s="928">
        <f aca="true" t="shared" si="8" ref="F142:F160">+D142-E142</f>
        <v>0</v>
      </c>
      <c r="G142" s="874">
        <f t="shared" si="5"/>
        <v>0</v>
      </c>
      <c r="H142" s="934">
        <f>+J96*G142+E142</f>
        <v>0</v>
      </c>
      <c r="I142" s="935">
        <f>+J97*G142+E142</f>
        <v>0</v>
      </c>
      <c r="J142" s="931">
        <f t="shared" si="7"/>
        <v>0</v>
      </c>
      <c r="K142" s="931"/>
      <c r="L142" s="955"/>
      <c r="M142" s="931">
        <f aca="true" t="shared" si="9" ref="M142:M160">IF(L142&lt;&gt;0,+H142-L142,0)</f>
        <v>0</v>
      </c>
      <c r="N142" s="955"/>
      <c r="O142" s="931">
        <f aca="true" t="shared" si="10" ref="O142:O160">IF(N142&lt;&gt;0,+I142-N142,0)</f>
        <v>0</v>
      </c>
      <c r="P142" s="931">
        <f aca="true" t="shared" si="11" ref="P142:P160">+O142-M142</f>
        <v>0</v>
      </c>
      <c r="Q142" s="933"/>
    </row>
    <row r="143" spans="3:17" ht="12.75">
      <c r="C143" s="927">
        <f>IF(D95="","-",+C142+1)</f>
        <v>42</v>
      </c>
      <c r="D143" s="874">
        <f aca="true" t="shared" si="12" ref="D143:D160">F142</f>
        <v>0</v>
      </c>
      <c r="E143" s="928">
        <f t="shared" si="6"/>
        <v>0</v>
      </c>
      <c r="F143" s="928">
        <f t="shared" si="8"/>
        <v>0</v>
      </c>
      <c r="G143" s="874">
        <f t="shared" si="5"/>
        <v>0</v>
      </c>
      <c r="H143" s="934">
        <f>+J96*G143+E143</f>
        <v>0</v>
      </c>
      <c r="I143" s="935">
        <f>+J97*G143+E143</f>
        <v>0</v>
      </c>
      <c r="J143" s="931">
        <f t="shared" si="7"/>
        <v>0</v>
      </c>
      <c r="K143" s="931"/>
      <c r="L143" s="955"/>
      <c r="M143" s="931">
        <f t="shared" si="9"/>
        <v>0</v>
      </c>
      <c r="N143" s="955"/>
      <c r="O143" s="931">
        <f t="shared" si="10"/>
        <v>0</v>
      </c>
      <c r="P143" s="931">
        <f t="shared" si="11"/>
        <v>0</v>
      </c>
      <c r="Q143" s="933"/>
    </row>
    <row r="144" spans="3:17" ht="12.75">
      <c r="C144" s="927">
        <f>IF(D95="","-",+C143+1)</f>
        <v>43</v>
      </c>
      <c r="D144" s="874">
        <f t="shared" si="12"/>
        <v>0</v>
      </c>
      <c r="E144" s="928">
        <f t="shared" si="6"/>
        <v>0</v>
      </c>
      <c r="F144" s="928">
        <f t="shared" si="8"/>
        <v>0</v>
      </c>
      <c r="G144" s="874">
        <f t="shared" si="5"/>
        <v>0</v>
      </c>
      <c r="H144" s="934">
        <f>+J96*G144+E144</f>
        <v>0</v>
      </c>
      <c r="I144" s="935">
        <f>+J97*G144+E144</f>
        <v>0</v>
      </c>
      <c r="J144" s="931">
        <f t="shared" si="7"/>
        <v>0</v>
      </c>
      <c r="K144" s="931"/>
      <c r="L144" s="955"/>
      <c r="M144" s="931">
        <f t="shared" si="9"/>
        <v>0</v>
      </c>
      <c r="N144" s="955"/>
      <c r="O144" s="931">
        <f t="shared" si="10"/>
        <v>0</v>
      </c>
      <c r="P144" s="931">
        <f t="shared" si="11"/>
        <v>0</v>
      </c>
      <c r="Q144" s="933"/>
    </row>
    <row r="145" spans="3:17" ht="12.75">
      <c r="C145" s="927">
        <f>IF(D95="","-",+C144+1)</f>
        <v>44</v>
      </c>
      <c r="D145" s="874">
        <f t="shared" si="12"/>
        <v>0</v>
      </c>
      <c r="E145" s="928">
        <f t="shared" si="6"/>
        <v>0</v>
      </c>
      <c r="F145" s="928">
        <f t="shared" si="8"/>
        <v>0</v>
      </c>
      <c r="G145" s="874">
        <f t="shared" si="5"/>
        <v>0</v>
      </c>
      <c r="H145" s="934">
        <f>+J96*G145+E145</f>
        <v>0</v>
      </c>
      <c r="I145" s="935">
        <f>+J97*G145+E145</f>
        <v>0</v>
      </c>
      <c r="J145" s="931">
        <f t="shared" si="7"/>
        <v>0</v>
      </c>
      <c r="K145" s="931"/>
      <c r="L145" s="955"/>
      <c r="M145" s="931">
        <f t="shared" si="9"/>
        <v>0</v>
      </c>
      <c r="N145" s="955"/>
      <c r="O145" s="931">
        <f t="shared" si="10"/>
        <v>0</v>
      </c>
      <c r="P145" s="931">
        <f t="shared" si="11"/>
        <v>0</v>
      </c>
      <c r="Q145" s="933"/>
    </row>
    <row r="146" spans="3:17" ht="12.75">
      <c r="C146" s="927">
        <f>IF(D95="","-",+C145+1)</f>
        <v>45</v>
      </c>
      <c r="D146" s="874">
        <f t="shared" si="12"/>
        <v>0</v>
      </c>
      <c r="E146" s="928">
        <f t="shared" si="6"/>
        <v>0</v>
      </c>
      <c r="F146" s="928">
        <f t="shared" si="8"/>
        <v>0</v>
      </c>
      <c r="G146" s="874">
        <f t="shared" si="5"/>
        <v>0</v>
      </c>
      <c r="H146" s="934">
        <f>+J96*G146+E146</f>
        <v>0</v>
      </c>
      <c r="I146" s="935">
        <f>+J97*G146+E146</f>
        <v>0</v>
      </c>
      <c r="J146" s="931">
        <f t="shared" si="7"/>
        <v>0</v>
      </c>
      <c r="K146" s="931"/>
      <c r="L146" s="955"/>
      <c r="M146" s="931">
        <f t="shared" si="9"/>
        <v>0</v>
      </c>
      <c r="N146" s="955"/>
      <c r="O146" s="931">
        <f t="shared" si="10"/>
        <v>0</v>
      </c>
      <c r="P146" s="931">
        <f t="shared" si="11"/>
        <v>0</v>
      </c>
      <c r="Q146" s="933"/>
    </row>
    <row r="147" spans="3:17" ht="12.75">
      <c r="C147" s="927">
        <f>IF(D95="","-",+C146+1)</f>
        <v>46</v>
      </c>
      <c r="D147" s="874">
        <f t="shared" si="12"/>
        <v>0</v>
      </c>
      <c r="E147" s="928">
        <f t="shared" si="6"/>
        <v>0</v>
      </c>
      <c r="F147" s="928">
        <f t="shared" si="8"/>
        <v>0</v>
      </c>
      <c r="G147" s="874">
        <f t="shared" si="5"/>
        <v>0</v>
      </c>
      <c r="H147" s="934">
        <f>+J96*G147+E147</f>
        <v>0</v>
      </c>
      <c r="I147" s="935">
        <f>+J97*G147+E147</f>
        <v>0</v>
      </c>
      <c r="J147" s="931">
        <f t="shared" si="7"/>
        <v>0</v>
      </c>
      <c r="K147" s="931"/>
      <c r="L147" s="955"/>
      <c r="M147" s="931">
        <f t="shared" si="9"/>
        <v>0</v>
      </c>
      <c r="N147" s="955"/>
      <c r="O147" s="931">
        <f t="shared" si="10"/>
        <v>0</v>
      </c>
      <c r="P147" s="931">
        <f t="shared" si="11"/>
        <v>0</v>
      </c>
      <c r="Q147" s="933"/>
    </row>
    <row r="148" spans="3:17" ht="12.75">
      <c r="C148" s="927">
        <f>IF(D95="","-",+C147+1)</f>
        <v>47</v>
      </c>
      <c r="D148" s="874">
        <f t="shared" si="12"/>
        <v>0</v>
      </c>
      <c r="E148" s="928">
        <f t="shared" si="6"/>
        <v>0</v>
      </c>
      <c r="F148" s="928">
        <f t="shared" si="8"/>
        <v>0</v>
      </c>
      <c r="G148" s="874">
        <f t="shared" si="5"/>
        <v>0</v>
      </c>
      <c r="H148" s="934">
        <f>+J96*G148+E148</f>
        <v>0</v>
      </c>
      <c r="I148" s="935">
        <f>+J97*G148+E148</f>
        <v>0</v>
      </c>
      <c r="J148" s="931">
        <f t="shared" si="7"/>
        <v>0</v>
      </c>
      <c r="K148" s="931"/>
      <c r="L148" s="955"/>
      <c r="M148" s="931">
        <f t="shared" si="9"/>
        <v>0</v>
      </c>
      <c r="N148" s="955"/>
      <c r="O148" s="931">
        <f t="shared" si="10"/>
        <v>0</v>
      </c>
      <c r="P148" s="931">
        <f t="shared" si="11"/>
        <v>0</v>
      </c>
      <c r="Q148" s="933"/>
    </row>
    <row r="149" spans="3:17" ht="12.75">
      <c r="C149" s="927">
        <f>IF(D95="","-",+C148+1)</f>
        <v>48</v>
      </c>
      <c r="D149" s="874">
        <f t="shared" si="12"/>
        <v>0</v>
      </c>
      <c r="E149" s="928">
        <f t="shared" si="6"/>
        <v>0</v>
      </c>
      <c r="F149" s="928">
        <f t="shared" si="8"/>
        <v>0</v>
      </c>
      <c r="G149" s="874">
        <f t="shared" si="5"/>
        <v>0</v>
      </c>
      <c r="H149" s="934">
        <f>+J96*G149+E149</f>
        <v>0</v>
      </c>
      <c r="I149" s="935">
        <f>+J97*G149+E149</f>
        <v>0</v>
      </c>
      <c r="J149" s="931">
        <f t="shared" si="7"/>
        <v>0</v>
      </c>
      <c r="K149" s="931"/>
      <c r="L149" s="955"/>
      <c r="M149" s="931">
        <f t="shared" si="9"/>
        <v>0</v>
      </c>
      <c r="N149" s="955"/>
      <c r="O149" s="931">
        <f t="shared" si="10"/>
        <v>0</v>
      </c>
      <c r="P149" s="931">
        <f t="shared" si="11"/>
        <v>0</v>
      </c>
      <c r="Q149" s="933"/>
    </row>
    <row r="150" spans="3:17" ht="12.75">
      <c r="C150" s="927">
        <f>IF(D95="","-",+C149+1)</f>
        <v>49</v>
      </c>
      <c r="D150" s="874">
        <f t="shared" si="12"/>
        <v>0</v>
      </c>
      <c r="E150" s="928">
        <f t="shared" si="6"/>
        <v>0</v>
      </c>
      <c r="F150" s="928">
        <f t="shared" si="8"/>
        <v>0</v>
      </c>
      <c r="G150" s="874">
        <f t="shared" si="5"/>
        <v>0</v>
      </c>
      <c r="H150" s="934">
        <f>+J96*G150+E150</f>
        <v>0</v>
      </c>
      <c r="I150" s="935">
        <f>+J97*G150+E150</f>
        <v>0</v>
      </c>
      <c r="J150" s="931">
        <f t="shared" si="7"/>
        <v>0</v>
      </c>
      <c r="K150" s="931"/>
      <c r="L150" s="955"/>
      <c r="M150" s="931">
        <f t="shared" si="9"/>
        <v>0</v>
      </c>
      <c r="N150" s="955"/>
      <c r="O150" s="931">
        <f t="shared" si="10"/>
        <v>0</v>
      </c>
      <c r="P150" s="931">
        <f t="shared" si="11"/>
        <v>0</v>
      </c>
      <c r="Q150" s="933"/>
    </row>
    <row r="151" spans="3:17" ht="12.75">
      <c r="C151" s="927">
        <f>IF(D95="","-",+C150+1)</f>
        <v>50</v>
      </c>
      <c r="D151" s="874">
        <f t="shared" si="12"/>
        <v>0</v>
      </c>
      <c r="E151" s="928">
        <f t="shared" si="6"/>
        <v>0</v>
      </c>
      <c r="F151" s="928">
        <f t="shared" si="8"/>
        <v>0</v>
      </c>
      <c r="G151" s="874">
        <f t="shared" si="5"/>
        <v>0</v>
      </c>
      <c r="H151" s="934">
        <f>+J96*G151+E151</f>
        <v>0</v>
      </c>
      <c r="I151" s="935">
        <f>+J97*G151+E151</f>
        <v>0</v>
      </c>
      <c r="J151" s="931">
        <f t="shared" si="7"/>
        <v>0</v>
      </c>
      <c r="K151" s="931"/>
      <c r="L151" s="955"/>
      <c r="M151" s="931">
        <f t="shared" si="9"/>
        <v>0</v>
      </c>
      <c r="N151" s="955"/>
      <c r="O151" s="931">
        <f t="shared" si="10"/>
        <v>0</v>
      </c>
      <c r="P151" s="931">
        <f t="shared" si="11"/>
        <v>0</v>
      </c>
      <c r="Q151" s="933"/>
    </row>
    <row r="152" spans="3:17" ht="12.75">
      <c r="C152" s="927">
        <f>IF(D95="","-",+C151+1)</f>
        <v>51</v>
      </c>
      <c r="D152" s="874">
        <f t="shared" si="12"/>
        <v>0</v>
      </c>
      <c r="E152" s="928">
        <f t="shared" si="6"/>
        <v>0</v>
      </c>
      <c r="F152" s="928">
        <f t="shared" si="8"/>
        <v>0</v>
      </c>
      <c r="G152" s="874">
        <f t="shared" si="5"/>
        <v>0</v>
      </c>
      <c r="H152" s="934">
        <f>+J96*G152+E152</f>
        <v>0</v>
      </c>
      <c r="I152" s="935">
        <f>+J97*G152+E152</f>
        <v>0</v>
      </c>
      <c r="J152" s="931">
        <f t="shared" si="7"/>
        <v>0</v>
      </c>
      <c r="K152" s="931"/>
      <c r="L152" s="955"/>
      <c r="M152" s="931">
        <f t="shared" si="9"/>
        <v>0</v>
      </c>
      <c r="N152" s="955"/>
      <c r="O152" s="931">
        <f t="shared" si="10"/>
        <v>0</v>
      </c>
      <c r="P152" s="931">
        <f t="shared" si="11"/>
        <v>0</v>
      </c>
      <c r="Q152" s="933"/>
    </row>
    <row r="153" spans="3:17" ht="12.75">
      <c r="C153" s="927">
        <f>IF(D95="","-",+C152+1)</f>
        <v>52</v>
      </c>
      <c r="D153" s="874">
        <f t="shared" si="12"/>
        <v>0</v>
      </c>
      <c r="E153" s="928">
        <f t="shared" si="6"/>
        <v>0</v>
      </c>
      <c r="F153" s="928">
        <f t="shared" si="8"/>
        <v>0</v>
      </c>
      <c r="G153" s="874">
        <f t="shared" si="5"/>
        <v>0</v>
      </c>
      <c r="H153" s="934">
        <f>+J96*G153+E153</f>
        <v>0</v>
      </c>
      <c r="I153" s="935">
        <f>+J97*G153+E153</f>
        <v>0</v>
      </c>
      <c r="J153" s="931">
        <f t="shared" si="7"/>
        <v>0</v>
      </c>
      <c r="K153" s="931"/>
      <c r="L153" s="955"/>
      <c r="M153" s="931">
        <f t="shared" si="9"/>
        <v>0</v>
      </c>
      <c r="N153" s="955"/>
      <c r="O153" s="931">
        <f t="shared" si="10"/>
        <v>0</v>
      </c>
      <c r="P153" s="931">
        <f t="shared" si="11"/>
        <v>0</v>
      </c>
      <c r="Q153" s="933"/>
    </row>
    <row r="154" spans="3:17" ht="12.75">
      <c r="C154" s="927">
        <f>IF(D95="","-",+C153+1)</f>
        <v>53</v>
      </c>
      <c r="D154" s="874">
        <f t="shared" si="12"/>
        <v>0</v>
      </c>
      <c r="E154" s="928">
        <f t="shared" si="6"/>
        <v>0</v>
      </c>
      <c r="F154" s="928">
        <f t="shared" si="8"/>
        <v>0</v>
      </c>
      <c r="G154" s="874">
        <f t="shared" si="5"/>
        <v>0</v>
      </c>
      <c r="H154" s="934">
        <f>+J96*G154+E154</f>
        <v>0</v>
      </c>
      <c r="I154" s="935">
        <f>+J97*G154+E154</f>
        <v>0</v>
      </c>
      <c r="J154" s="931">
        <f t="shared" si="7"/>
        <v>0</v>
      </c>
      <c r="K154" s="931"/>
      <c r="L154" s="955"/>
      <c r="M154" s="931">
        <f t="shared" si="9"/>
        <v>0</v>
      </c>
      <c r="N154" s="955"/>
      <c r="O154" s="931">
        <f t="shared" si="10"/>
        <v>0</v>
      </c>
      <c r="P154" s="931">
        <f t="shared" si="11"/>
        <v>0</v>
      </c>
      <c r="Q154" s="933"/>
    </row>
    <row r="155" spans="3:17" ht="12.75">
      <c r="C155" s="927">
        <f>IF(D95="","-",+C154+1)</f>
        <v>54</v>
      </c>
      <c r="D155" s="874">
        <f>F154</f>
        <v>0</v>
      </c>
      <c r="E155" s="928">
        <f t="shared" si="6"/>
        <v>0</v>
      </c>
      <c r="F155" s="928">
        <f t="shared" si="8"/>
        <v>0</v>
      </c>
      <c r="G155" s="874">
        <f t="shared" si="5"/>
        <v>0</v>
      </c>
      <c r="H155" s="934">
        <f>+J96*G155+E155</f>
        <v>0</v>
      </c>
      <c r="I155" s="935">
        <f>+J97*G155+E155</f>
        <v>0</v>
      </c>
      <c r="J155" s="931">
        <f t="shared" si="7"/>
        <v>0</v>
      </c>
      <c r="K155" s="931"/>
      <c r="L155" s="955"/>
      <c r="M155" s="931">
        <f t="shared" si="9"/>
        <v>0</v>
      </c>
      <c r="N155" s="955"/>
      <c r="O155" s="931">
        <f t="shared" si="10"/>
        <v>0</v>
      </c>
      <c r="P155" s="931">
        <f t="shared" si="11"/>
        <v>0</v>
      </c>
      <c r="Q155" s="933"/>
    </row>
    <row r="156" spans="3:17" ht="12.75">
      <c r="C156" s="927">
        <f>IF(D95="","-",+C155+1)</f>
        <v>55</v>
      </c>
      <c r="D156" s="874">
        <f t="shared" si="12"/>
        <v>0</v>
      </c>
      <c r="E156" s="928">
        <f t="shared" si="6"/>
        <v>0</v>
      </c>
      <c r="F156" s="928">
        <f t="shared" si="8"/>
        <v>0</v>
      </c>
      <c r="G156" s="874">
        <f t="shared" si="5"/>
        <v>0</v>
      </c>
      <c r="H156" s="934">
        <f>+J96*G156+E156</f>
        <v>0</v>
      </c>
      <c r="I156" s="935">
        <f>+J97*G156+E156</f>
        <v>0</v>
      </c>
      <c r="J156" s="931">
        <f t="shared" si="7"/>
        <v>0</v>
      </c>
      <c r="K156" s="931"/>
      <c r="L156" s="955"/>
      <c r="M156" s="931">
        <f t="shared" si="9"/>
        <v>0</v>
      </c>
      <c r="N156" s="955"/>
      <c r="O156" s="931">
        <f t="shared" si="10"/>
        <v>0</v>
      </c>
      <c r="P156" s="931">
        <f t="shared" si="11"/>
        <v>0</v>
      </c>
      <c r="Q156" s="933"/>
    </row>
    <row r="157" spans="3:17" ht="12.75">
      <c r="C157" s="927">
        <f>IF(D95="","-",+C156+1)</f>
        <v>56</v>
      </c>
      <c r="D157" s="874">
        <f t="shared" si="12"/>
        <v>0</v>
      </c>
      <c r="E157" s="928">
        <f t="shared" si="6"/>
        <v>0</v>
      </c>
      <c r="F157" s="928">
        <f t="shared" si="8"/>
        <v>0</v>
      </c>
      <c r="G157" s="874">
        <f t="shared" si="5"/>
        <v>0</v>
      </c>
      <c r="H157" s="934">
        <f>+J96*G157+E157</f>
        <v>0</v>
      </c>
      <c r="I157" s="935">
        <f>+J97*G157+E157</f>
        <v>0</v>
      </c>
      <c r="J157" s="931">
        <f t="shared" si="7"/>
        <v>0</v>
      </c>
      <c r="K157" s="931"/>
      <c r="L157" s="955"/>
      <c r="M157" s="931">
        <f t="shared" si="9"/>
        <v>0</v>
      </c>
      <c r="N157" s="955"/>
      <c r="O157" s="931">
        <f t="shared" si="10"/>
        <v>0</v>
      </c>
      <c r="P157" s="931">
        <f t="shared" si="11"/>
        <v>0</v>
      </c>
      <c r="Q157" s="933"/>
    </row>
    <row r="158" spans="3:17" ht="12.75">
      <c r="C158" s="927">
        <f>IF(D95="","-",+C157+1)</f>
        <v>57</v>
      </c>
      <c r="D158" s="874">
        <f t="shared" si="12"/>
        <v>0</v>
      </c>
      <c r="E158" s="928">
        <f t="shared" si="6"/>
        <v>0</v>
      </c>
      <c r="F158" s="928">
        <f t="shared" si="8"/>
        <v>0</v>
      </c>
      <c r="G158" s="874">
        <f t="shared" si="5"/>
        <v>0</v>
      </c>
      <c r="H158" s="934">
        <f>+J96*G158+E158</f>
        <v>0</v>
      </c>
      <c r="I158" s="935">
        <f>+J97*G158+E158</f>
        <v>0</v>
      </c>
      <c r="J158" s="931">
        <f t="shared" si="7"/>
        <v>0</v>
      </c>
      <c r="K158" s="931"/>
      <c r="L158" s="955"/>
      <c r="M158" s="931">
        <f t="shared" si="9"/>
        <v>0</v>
      </c>
      <c r="N158" s="955"/>
      <c r="O158" s="931">
        <f t="shared" si="10"/>
        <v>0</v>
      </c>
      <c r="P158" s="931">
        <f t="shared" si="11"/>
        <v>0</v>
      </c>
      <c r="Q158" s="933"/>
    </row>
    <row r="159" spans="3:17" ht="12.75">
      <c r="C159" s="927">
        <f>IF(D95="","-",+C158+1)</f>
        <v>58</v>
      </c>
      <c r="D159" s="874">
        <f t="shared" si="12"/>
        <v>0</v>
      </c>
      <c r="E159" s="928">
        <f t="shared" si="6"/>
        <v>0</v>
      </c>
      <c r="F159" s="928">
        <f t="shared" si="8"/>
        <v>0</v>
      </c>
      <c r="G159" s="874">
        <f t="shared" si="5"/>
        <v>0</v>
      </c>
      <c r="H159" s="934">
        <f>+J96*G159+E159</f>
        <v>0</v>
      </c>
      <c r="I159" s="935">
        <f>+J97*G159+E159</f>
        <v>0</v>
      </c>
      <c r="J159" s="931">
        <f t="shared" si="7"/>
        <v>0</v>
      </c>
      <c r="K159" s="931"/>
      <c r="L159" s="955"/>
      <c r="M159" s="931">
        <f t="shared" si="9"/>
        <v>0</v>
      </c>
      <c r="N159" s="955"/>
      <c r="O159" s="931">
        <f t="shared" si="10"/>
        <v>0</v>
      </c>
      <c r="P159" s="931">
        <f t="shared" si="11"/>
        <v>0</v>
      </c>
      <c r="Q159" s="933"/>
    </row>
    <row r="160" spans="3:17" ht="13.5" thickBot="1">
      <c r="C160" s="938">
        <f>IF(D95="","-",+C159+1)</f>
        <v>59</v>
      </c>
      <c r="D160" s="939">
        <f t="shared" si="12"/>
        <v>0</v>
      </c>
      <c r="E160" s="940">
        <f t="shared" si="6"/>
        <v>0</v>
      </c>
      <c r="F160" s="940">
        <f t="shared" si="8"/>
        <v>0</v>
      </c>
      <c r="G160" s="939">
        <f t="shared" si="5"/>
        <v>0</v>
      </c>
      <c r="H160" s="941">
        <f>+J96*G160+E160</f>
        <v>0</v>
      </c>
      <c r="I160" s="941">
        <f>+J97*G160+E160</f>
        <v>0</v>
      </c>
      <c r="J160" s="942">
        <f t="shared" si="7"/>
        <v>0</v>
      </c>
      <c r="K160" s="931"/>
      <c r="L160" s="956"/>
      <c r="M160" s="942">
        <f t="shared" si="9"/>
        <v>0</v>
      </c>
      <c r="N160" s="956"/>
      <c r="O160" s="942">
        <f t="shared" si="10"/>
        <v>0</v>
      </c>
      <c r="P160" s="942">
        <f t="shared" si="11"/>
        <v>0</v>
      </c>
      <c r="Q160" s="933"/>
    </row>
    <row r="161" spans="3:17" ht="12.75">
      <c r="C161" s="874" t="s">
        <v>135</v>
      </c>
      <c r="D161" s="867"/>
      <c r="E161" s="867">
        <f>SUM(E101:E160)</f>
        <v>0</v>
      </c>
      <c r="F161" s="867"/>
      <c r="G161" s="867"/>
      <c r="H161" s="867">
        <f>SUM(H101:H160)</f>
        <v>0</v>
      </c>
      <c r="I161" s="867">
        <f>SUM(I101:I160)</f>
        <v>0</v>
      </c>
      <c r="J161" s="867">
        <f>SUM(J101:J160)</f>
        <v>0</v>
      </c>
      <c r="K161" s="867"/>
      <c r="L161" s="867"/>
      <c r="M161" s="867"/>
      <c r="N161" s="867"/>
      <c r="O161" s="867"/>
      <c r="Q161" s="867"/>
    </row>
    <row r="162" spans="4:17" ht="12.75">
      <c r="D162" s="672"/>
      <c r="E162" s="468"/>
      <c r="F162" s="468"/>
      <c r="G162" s="468"/>
      <c r="H162" s="468"/>
      <c r="I162" s="843"/>
      <c r="J162" s="843"/>
      <c r="K162" s="867"/>
      <c r="L162" s="843"/>
      <c r="M162" s="843"/>
      <c r="N162" s="843"/>
      <c r="O162" s="843"/>
      <c r="Q162" s="867"/>
    </row>
    <row r="163" spans="3:17" ht="12.75">
      <c r="C163" s="468" t="s">
        <v>68</v>
      </c>
      <c r="D163" s="672"/>
      <c r="E163" s="468"/>
      <c r="F163" s="468"/>
      <c r="G163" s="468"/>
      <c r="H163" s="468"/>
      <c r="I163" s="843"/>
      <c r="J163" s="843"/>
      <c r="K163" s="867"/>
      <c r="L163" s="843"/>
      <c r="M163" s="843"/>
      <c r="N163" s="843"/>
      <c r="O163" s="843"/>
      <c r="Q163" s="867"/>
    </row>
    <row r="164" spans="3:17" ht="12.75">
      <c r="C164" s="468"/>
      <c r="D164" s="672"/>
      <c r="E164" s="468"/>
      <c r="F164" s="468"/>
      <c r="G164" s="468"/>
      <c r="H164" s="468"/>
      <c r="I164" s="843"/>
      <c r="J164" s="843"/>
      <c r="K164" s="867"/>
      <c r="L164" s="843"/>
      <c r="M164" s="843"/>
      <c r="N164" s="843"/>
      <c r="O164" s="843"/>
      <c r="Q164" s="867"/>
    </row>
    <row r="165" spans="3:17" ht="12.75">
      <c r="C165" s="944" t="s">
        <v>69</v>
      </c>
      <c r="D165" s="874"/>
      <c r="E165" s="874"/>
      <c r="F165" s="874"/>
      <c r="G165" s="874"/>
      <c r="H165" s="867"/>
      <c r="I165" s="867"/>
      <c r="J165" s="933"/>
      <c r="K165" s="933"/>
      <c r="L165" s="933"/>
      <c r="M165" s="933"/>
      <c r="N165" s="933"/>
      <c r="O165" s="933"/>
      <c r="Q165" s="933"/>
    </row>
    <row r="166" spans="3:17" ht="12.75">
      <c r="C166" s="873" t="s">
        <v>378</v>
      </c>
      <c r="D166" s="874"/>
      <c r="E166" s="874"/>
      <c r="F166" s="874"/>
      <c r="G166" s="874"/>
      <c r="H166" s="867"/>
      <c r="I166" s="867"/>
      <c r="J166" s="933"/>
      <c r="K166" s="933"/>
      <c r="L166" s="933"/>
      <c r="M166" s="933"/>
      <c r="N166" s="933"/>
      <c r="O166" s="933"/>
      <c r="Q166" s="933"/>
    </row>
    <row r="167" spans="3:17" ht="12.75">
      <c r="C167" s="873" t="s">
        <v>136</v>
      </c>
      <c r="D167" s="874"/>
      <c r="E167" s="874"/>
      <c r="F167" s="874"/>
      <c r="G167" s="874"/>
      <c r="H167" s="867"/>
      <c r="I167" s="867"/>
      <c r="J167" s="933"/>
      <c r="K167" s="933"/>
      <c r="L167" s="933"/>
      <c r="M167" s="933"/>
      <c r="N167" s="933"/>
      <c r="O167" s="933"/>
      <c r="Q167" s="933"/>
    </row>
  </sheetData>
  <sheetProtection/>
  <mergeCells count="10">
    <mergeCell ref="C49:D50"/>
    <mergeCell ref="C58:D59"/>
    <mergeCell ref="C69:D70"/>
    <mergeCell ref="J78:P81"/>
    <mergeCell ref="L94:O94"/>
    <mergeCell ref="A1:P1"/>
    <mergeCell ref="C9:I10"/>
    <mergeCell ref="A2:P2"/>
    <mergeCell ref="A3:P3"/>
    <mergeCell ref="A4:P4"/>
  </mergeCells>
  <conditionalFormatting sqref="C101:C160">
    <cfRule type="cellIs" priority="8" dxfId="2" operator="equal" stopIfTrue="1">
      <formula>$J$94</formula>
    </cfRule>
  </conditionalFormatting>
  <printOptions/>
  <pageMargins left="0.26" right="1.28" top="0.72" bottom="0.72" header="0.75" footer="0.5"/>
  <pageSetup fitToHeight="2" horizontalDpi="600" verticalDpi="600" orientation="landscape" scale="41" r:id="rId1"/>
  <headerFooter alignWithMargins="0">
    <oddHeader>&amp;R&amp;"Arial,Bold"Formula Rate 
&amp;A
Page &amp;P of &amp;N</oddHeader>
  </headerFooter>
  <rowBreaks count="1" manualBreakCount="1">
    <brk id="81" max="15" man="1"/>
  </rowBreaks>
</worksheet>
</file>

<file path=xl/worksheets/sheet15.xml><?xml version="1.0" encoding="utf-8"?>
<worksheet xmlns="http://schemas.openxmlformats.org/spreadsheetml/2006/main" xmlns:r="http://schemas.openxmlformats.org/officeDocument/2006/relationships">
  <sheetPr>
    <tabColor rgb="FFCCFFFF"/>
    <pageSetUpPr fitToPage="1"/>
  </sheetPr>
  <dimension ref="B1:E8"/>
  <sheetViews>
    <sheetView zoomScalePageLayoutView="0" workbookViewId="0" topLeftCell="A1">
      <selection activeCell="B16" sqref="B16"/>
    </sheetView>
  </sheetViews>
  <sheetFormatPr defaultColWidth="9.140625" defaultRowHeight="12.75"/>
  <cols>
    <col min="1" max="1" width="9.140625" style="62" customWidth="1"/>
    <col min="2" max="2" width="40.140625" style="189" customWidth="1"/>
    <col min="3" max="3" width="31.57421875" style="186" customWidth="1"/>
    <col min="4" max="4" width="14.8515625" style="186" customWidth="1"/>
    <col min="5" max="5" width="18.00390625" style="186" customWidth="1"/>
    <col min="6" max="16384" width="9.140625" style="186" customWidth="1"/>
  </cols>
  <sheetData>
    <row r="1" spans="2:5" ht="15">
      <c r="B1" s="1250" t="str">
        <f>TCOS!$F$3</f>
        <v>AEPTCo subsidiaries in PJM</v>
      </c>
      <c r="C1" s="1250" t="str">
        <f>TCOS!$F$3</f>
        <v>AEPTCo subsidiaries in PJM</v>
      </c>
      <c r="D1" s="1250" t="str">
        <f>TCOS!$F$3</f>
        <v>AEPTCo subsidiaries in PJM</v>
      </c>
      <c r="E1" s="1250" t="str">
        <f>TCOS!$F$3</f>
        <v>AEPTCo subsidiaries in PJM</v>
      </c>
    </row>
    <row r="2" spans="2:5" ht="15">
      <c r="B2" s="1251" t="str">
        <f>"Cost of Service Formula Rate Using Actual/Projected FF1 Balances"</f>
        <v>Cost of Service Formula Rate Using Actual/Projected FF1 Balances</v>
      </c>
      <c r="C2" s="1251"/>
      <c r="D2" s="1251"/>
      <c r="E2" s="1251"/>
    </row>
    <row r="3" spans="2:5" ht="15">
      <c r="B3" s="1250" t="s">
        <v>886</v>
      </c>
      <c r="C3" s="1250"/>
      <c r="D3" s="1250"/>
      <c r="E3" s="1250"/>
    </row>
    <row r="4" spans="2:5" ht="15">
      <c r="B4" s="1254" t="str">
        <f>+TCOS!F7</f>
        <v>AEP APPALACHIAN TRANSMISSION COMPANY</v>
      </c>
      <c r="C4" s="1250"/>
      <c r="D4" s="1250"/>
      <c r="E4" s="1250"/>
    </row>
    <row r="6" spans="2:4" ht="18.75" customHeight="1">
      <c r="B6" s="49" t="s">
        <v>637</v>
      </c>
      <c r="C6" s="161"/>
      <c r="D6" s="188"/>
    </row>
    <row r="7" spans="2:4" ht="12.75">
      <c r="B7" s="187"/>
      <c r="C7" s="161"/>
      <c r="D7" s="188"/>
    </row>
    <row r="8" ht="12.75">
      <c r="B8" s="189" t="s">
        <v>846</v>
      </c>
    </row>
  </sheetData>
  <sheetProtection password="CA99" sheet="1" objects="1" scenarios="1"/>
  <mergeCells count="4">
    <mergeCell ref="B4:E4"/>
    <mergeCell ref="B1:E1"/>
    <mergeCell ref="B2:E2"/>
    <mergeCell ref="B3:E3"/>
  </mergeCells>
  <printOptions/>
  <pageMargins left="0.61" right="1" top="1.22" bottom="1" header="0.87" footer="0.5"/>
  <pageSetup fitToHeight="1" fitToWidth="1" horizontalDpi="600" verticalDpi="600" orientation="portrait" scale="72" r:id="rId1"/>
  <headerFooter alignWithMargins="0">
    <oddHeader>&amp;R&amp;"Arial,Bold"Formula Rate 
&amp;A
Page &amp;P of &amp;N</oddHeader>
  </headerFooter>
</worksheet>
</file>

<file path=xl/worksheets/sheet16.xml><?xml version="1.0" encoding="utf-8"?>
<worksheet xmlns="http://schemas.openxmlformats.org/spreadsheetml/2006/main" xmlns:r="http://schemas.openxmlformats.org/officeDocument/2006/relationships">
  <sheetPr>
    <tabColor rgb="FFCCFFFF"/>
    <pageSetUpPr fitToPage="1"/>
  </sheetPr>
  <dimension ref="A1:U80"/>
  <sheetViews>
    <sheetView zoomScale="85" zoomScaleNormal="85" zoomScalePageLayoutView="0" workbookViewId="0" topLeftCell="A6">
      <selection activeCell="E42" sqref="E42:F42"/>
    </sheetView>
  </sheetViews>
  <sheetFormatPr defaultColWidth="9.140625" defaultRowHeight="12.75"/>
  <cols>
    <col min="1" max="1" width="5.57421875" style="994" customWidth="1"/>
    <col min="2" max="2" width="49.57421875" style="1002" customWidth="1"/>
    <col min="3" max="3" width="26.57421875" style="994" customWidth="1"/>
    <col min="4" max="4" width="23.7109375" style="994" customWidth="1"/>
    <col min="5" max="5" width="19.00390625" style="994" bestFit="1" customWidth="1"/>
    <col min="6" max="6" width="14.57421875" style="994" customWidth="1"/>
    <col min="7" max="7" width="14.28125" style="994" customWidth="1"/>
    <col min="8" max="8" width="11.28125" style="995" customWidth="1"/>
    <col min="9" max="16384" width="9.140625" style="995" customWidth="1"/>
  </cols>
  <sheetData>
    <row r="1" spans="1:5" ht="15">
      <c r="A1" s="1247" t="str">
        <f>TCOS!$F$3</f>
        <v>AEPTCo subsidiaries in PJM</v>
      </c>
      <c r="B1" s="1247" t="str">
        <f>TCOS!$F$3</f>
        <v>AEPTCo subsidiaries in PJM</v>
      </c>
      <c r="C1" s="1247" t="str">
        <f>TCOS!$F$3</f>
        <v>AEPTCo subsidiaries in PJM</v>
      </c>
      <c r="D1" s="1247" t="str">
        <f>TCOS!$F$3</f>
        <v>AEPTCo subsidiaries in PJM</v>
      </c>
      <c r="E1" s="1247" t="str">
        <f>TCOS!$F$3</f>
        <v>AEPTCo subsidiaries in PJM</v>
      </c>
    </row>
    <row r="2" spans="1:5" ht="15">
      <c r="A2" s="1246" t="str">
        <f>"Cost of Service Formula Rate Using Actual/Projected FF1 Balances"</f>
        <v>Cost of Service Formula Rate Using Actual/Projected FF1 Balances</v>
      </c>
      <c r="B2" s="1246"/>
      <c r="C2" s="1246"/>
      <c r="D2" s="1246"/>
      <c r="E2" s="1246"/>
    </row>
    <row r="3" spans="1:5" ht="12.75">
      <c r="A3" s="1295" t="str">
        <f>TCOS!F7</f>
        <v>AEP APPALACHIAN TRANSMISSION COMPANY</v>
      </c>
      <c r="B3" s="1295"/>
      <c r="C3" s="1295"/>
      <c r="D3" s="1295"/>
      <c r="E3" s="1295"/>
    </row>
    <row r="4" spans="1:5" ht="54.75" customHeight="1">
      <c r="A4" s="1302" t="str">
        <f>"Worksheet M Supporting Calculation of Capital Structure and Weighted Average Cost of Capital Based on Average of Balances At 12/31/"&amp;TCOS!L2-1&amp;" &amp; 12/31/"&amp;TCOS!L2&amp;""</f>
        <v>Worksheet M Supporting Calculation of Capital Structure and Weighted Average Cost of Capital Based on Average of Balances At 12/31/2016 &amp; 12/31/2017</v>
      </c>
      <c r="B4" s="1303"/>
      <c r="C4" s="1303"/>
      <c r="D4" s="1303"/>
      <c r="E4" s="1303"/>
    </row>
    <row r="5" spans="1:6" ht="9.75" customHeight="1">
      <c r="A5" s="791"/>
      <c r="B5" s="1246"/>
      <c r="C5" s="1246"/>
      <c r="D5" s="1246"/>
      <c r="E5" s="1246"/>
      <c r="F5" s="1246"/>
    </row>
    <row r="6" spans="1:6" ht="21" customHeight="1">
      <c r="A6" s="996" t="s">
        <v>683</v>
      </c>
      <c r="B6" s="996" t="s">
        <v>684</v>
      </c>
      <c r="C6" s="996" t="s">
        <v>497</v>
      </c>
      <c r="D6" s="996" t="s">
        <v>686</v>
      </c>
      <c r="E6" s="996" t="s">
        <v>606</v>
      </c>
      <c r="F6" s="997"/>
    </row>
    <row r="7" spans="1:7" ht="34.5" customHeight="1">
      <c r="A7" s="995"/>
      <c r="B7" s="912"/>
      <c r="C7" s="583" t="s">
        <v>947</v>
      </c>
      <c r="D7" s="1184" t="str">
        <f>"Balance @ December"</f>
        <v>Balance @ December</v>
      </c>
      <c r="E7" s="912"/>
      <c r="F7" s="912"/>
      <c r="G7" s="998"/>
    </row>
    <row r="8" spans="1:6" ht="12.75" customHeight="1">
      <c r="A8" s="999" t="s">
        <v>690</v>
      </c>
      <c r="B8" s="912"/>
      <c r="C8" s="1000" t="str">
        <f>"12/31/"&amp;TCOS!L2</f>
        <v>12/31/2017</v>
      </c>
      <c r="D8" s="1000" t="str">
        <f>"12/31/"&amp;TCOS!L2-1</f>
        <v>12/31/2016</v>
      </c>
      <c r="E8" s="1047" t="s">
        <v>438</v>
      </c>
      <c r="F8" s="912"/>
    </row>
    <row r="9" spans="1:9" ht="12.75" customHeight="1">
      <c r="A9" s="1001" t="s">
        <v>498</v>
      </c>
      <c r="C9" s="800"/>
      <c r="D9" s="800"/>
      <c r="E9" s="548"/>
      <c r="F9" s="329"/>
      <c r="G9" s="329"/>
      <c r="H9" s="329"/>
      <c r="I9" s="333"/>
    </row>
    <row r="10" spans="1:9" ht="12.75" customHeight="1">
      <c r="A10" s="846"/>
      <c r="B10" s="1003"/>
      <c r="C10" s="800"/>
      <c r="D10" s="800"/>
      <c r="E10" s="548"/>
      <c r="F10" s="329"/>
      <c r="G10" s="329"/>
      <c r="H10" s="329"/>
      <c r="I10" s="333"/>
    </row>
    <row r="11" spans="1:11" ht="12.75" customHeight="1">
      <c r="A11" s="846">
        <v>1</v>
      </c>
      <c r="B11" s="800" t="s">
        <v>561</v>
      </c>
      <c r="C11" s="304">
        <v>6480682</v>
      </c>
      <c r="D11" s="304">
        <v>-358100</v>
      </c>
      <c r="E11" s="1004">
        <f>IF(C11=0,0,AVERAGE(C11:D11))</f>
        <v>3061291</v>
      </c>
      <c r="G11" s="1005"/>
      <c r="H11" s="329"/>
      <c r="I11" s="994"/>
      <c r="J11" s="994"/>
      <c r="K11" s="994"/>
    </row>
    <row r="12" spans="1:11" ht="12.75" customHeight="1">
      <c r="A12" s="846">
        <f>+A11+1</f>
        <v>2</v>
      </c>
      <c r="B12" s="800" t="str">
        <f>"Less Preferred Stock (Ln "&amp;A77&amp;" Below)"</f>
        <v>Less Preferred Stock (Ln 48 Below)</v>
      </c>
      <c r="C12" s="845">
        <f>+C77</f>
        <v>0</v>
      </c>
      <c r="D12" s="845">
        <f>+D77</f>
        <v>0</v>
      </c>
      <c r="E12" s="1004">
        <f>AVERAGE(C12:D12)</f>
        <v>0</v>
      </c>
      <c r="G12" s="1005"/>
      <c r="H12" s="329"/>
      <c r="I12" s="994"/>
      <c r="J12" s="994"/>
      <c r="K12" s="994"/>
    </row>
    <row r="13" spans="1:11" ht="12.75" customHeight="1">
      <c r="A13" s="846">
        <f>+A12+1</f>
        <v>3</v>
      </c>
      <c r="B13" s="800" t="s">
        <v>562</v>
      </c>
      <c r="C13" s="305">
        <v>0</v>
      </c>
      <c r="D13" s="305">
        <v>0</v>
      </c>
      <c r="E13" s="1004">
        <f>IF(C13=0,0,AVERAGE(C13:D13))</f>
        <v>0</v>
      </c>
      <c r="G13" s="1005"/>
      <c r="H13" s="329"/>
      <c r="I13" s="994"/>
      <c r="J13" s="994"/>
      <c r="K13" s="994"/>
    </row>
    <row r="14" spans="1:11" ht="12.75" customHeight="1" thickBot="1">
      <c r="A14" s="846">
        <f>+A13+1</f>
        <v>4</v>
      </c>
      <c r="B14" s="800" t="s">
        <v>563</v>
      </c>
      <c r="C14" s="306">
        <v>0</v>
      </c>
      <c r="D14" s="306">
        <v>0</v>
      </c>
      <c r="E14" s="1006">
        <f>IF(C14=0,0,AVERAGE(C14:D14))</f>
        <v>0</v>
      </c>
      <c r="G14" s="1005"/>
      <c r="H14" s="329"/>
      <c r="I14" s="994"/>
      <c r="J14" s="994"/>
      <c r="K14" s="994"/>
    </row>
    <row r="15" spans="1:8" ht="12.75" customHeight="1">
      <c r="A15" s="1007">
        <f>+A14+1</f>
        <v>5</v>
      </c>
      <c r="B15" s="1008" t="s">
        <v>553</v>
      </c>
      <c r="C15" s="827">
        <f>+C11-C12-C13-C14</f>
        <v>6480682</v>
      </c>
      <c r="D15" s="827">
        <f>+D11-D12-D13-D14</f>
        <v>-358100</v>
      </c>
      <c r="E15" s="1009">
        <f>+E11-E12-E13-E14</f>
        <v>3061291</v>
      </c>
      <c r="F15" s="800"/>
      <c r="G15" s="322"/>
      <c r="H15" s="322"/>
    </row>
    <row r="16" spans="3:4" ht="12.75" customHeight="1">
      <c r="C16" s="1010"/>
      <c r="D16" s="1011"/>
    </row>
    <row r="17" spans="1:4" ht="12.75" customHeight="1">
      <c r="A17" s="1001" t="s">
        <v>554</v>
      </c>
      <c r="C17" s="1010"/>
      <c r="D17" s="1012"/>
    </row>
    <row r="18" spans="1:4" ht="12.75" customHeight="1">
      <c r="A18" s="846"/>
      <c r="B18" s="1003"/>
      <c r="C18" s="1013"/>
      <c r="D18" s="1012"/>
    </row>
    <row r="19" spans="1:5" ht="12.75" customHeight="1">
      <c r="A19" s="846">
        <f>+A15+1</f>
        <v>6</v>
      </c>
      <c r="B19" s="1014" t="s">
        <v>564</v>
      </c>
      <c r="C19" s="1048">
        <v>0</v>
      </c>
      <c r="D19" s="1048">
        <v>0</v>
      </c>
      <c r="E19" s="1004">
        <f>IF(C19=0,0,AVERAGE(C19:D19))</f>
        <v>0</v>
      </c>
    </row>
    <row r="20" spans="1:5" ht="12.75" customHeight="1">
      <c r="A20" s="846">
        <f>+A19+1</f>
        <v>7</v>
      </c>
      <c r="B20" s="1014" t="s">
        <v>565</v>
      </c>
      <c r="C20" s="1048">
        <v>0</v>
      </c>
      <c r="D20" s="1048">
        <v>0</v>
      </c>
      <c r="E20" s="1004">
        <f>IF(C20=0,0,AVERAGE(C20:D20))</f>
        <v>0</v>
      </c>
    </row>
    <row r="21" spans="1:5" ht="12.75" customHeight="1">
      <c r="A21" s="846">
        <f>+A20+1</f>
        <v>8</v>
      </c>
      <c r="B21" s="1015" t="s">
        <v>78</v>
      </c>
      <c r="C21" s="1048">
        <v>0</v>
      </c>
      <c r="D21" s="1048">
        <v>0</v>
      </c>
      <c r="E21" s="1004">
        <f>IF(C21=0,0,AVERAGE(C21:D21))</f>
        <v>0</v>
      </c>
    </row>
    <row r="22" spans="1:5" ht="12.75" customHeight="1">
      <c r="A22" s="846">
        <f>+A21+1</f>
        <v>9</v>
      </c>
      <c r="B22" s="1015" t="s">
        <v>566</v>
      </c>
      <c r="C22" s="1048">
        <v>6600000</v>
      </c>
      <c r="D22" s="1049">
        <v>0</v>
      </c>
      <c r="E22" s="1016">
        <f>IF(C22=0,0,AVERAGE(C22:D22))</f>
        <v>3300000</v>
      </c>
    </row>
    <row r="23" spans="1:5" ht="12.75" customHeight="1" thickBot="1">
      <c r="A23" s="846">
        <f>+A22+1</f>
        <v>10</v>
      </c>
      <c r="B23" s="1015" t="str">
        <f>"Less: Fair Value Hedges (See Note on Ln "&amp;A26&amp;" below)"</f>
        <v>Less: Fair Value Hedges (See Note on Ln 12 below)</v>
      </c>
      <c r="C23" s="307"/>
      <c r="D23" s="306"/>
      <c r="E23" s="1006">
        <f>IF(C23=0,0,AVERAGE(C23:D23))</f>
        <v>0</v>
      </c>
    </row>
    <row r="24" spans="1:5" ht="12.75" customHeight="1">
      <c r="A24" s="1007">
        <f>+A23+1</f>
        <v>11</v>
      </c>
      <c r="B24" s="1017" t="s">
        <v>555</v>
      </c>
      <c r="C24" s="977">
        <f>+C19-C20+C21+C22-C23</f>
        <v>6600000</v>
      </c>
      <c r="D24" s="977">
        <f>+D19-D20+D21+D22-D23</f>
        <v>0</v>
      </c>
      <c r="E24" s="1018">
        <f>IF(C24=D24=0,0,AVERAGE(C24:D24))</f>
        <v>3300000</v>
      </c>
    </row>
    <row r="25" spans="1:5" ht="12.75" customHeight="1">
      <c r="A25" s="1007"/>
      <c r="B25" s="1017"/>
      <c r="C25" s="977"/>
      <c r="D25" s="977"/>
      <c r="E25" s="1018"/>
    </row>
    <row r="26" spans="1:5" ht="12.75" customHeight="1">
      <c r="A26" s="846">
        <f>+A24+1</f>
        <v>12</v>
      </c>
      <c r="B26" s="1300" t="s">
        <v>346</v>
      </c>
      <c r="C26" s="1301"/>
      <c r="D26" s="1301"/>
      <c r="E26" s="1301"/>
    </row>
    <row r="27" spans="1:5" ht="12.75" customHeight="1">
      <c r="A27" s="1007"/>
      <c r="B27" s="1301"/>
      <c r="C27" s="1301"/>
      <c r="D27" s="1301"/>
      <c r="E27" s="1301"/>
    </row>
    <row r="28" spans="1:5" ht="12.75" customHeight="1">
      <c r="A28" s="846"/>
      <c r="B28" s="1301"/>
      <c r="C28" s="1301"/>
      <c r="D28" s="1301"/>
      <c r="E28" s="1301"/>
    </row>
    <row r="29" spans="1:4" ht="12.75" customHeight="1">
      <c r="A29" s="846">
        <f>+A26+1</f>
        <v>13</v>
      </c>
      <c r="B29" s="1017" t="str">
        <f>"Annual Interest Expense for "&amp;TCOS!L2</f>
        <v>Annual Interest Expense for 2017</v>
      </c>
      <c r="C29" s="1019"/>
      <c r="D29" s="1011"/>
    </row>
    <row r="30" spans="1:5" ht="12.75" customHeight="1">
      <c r="A30" s="846">
        <f aca="true" t="shared" si="0" ref="A30:A36">+A29+1</f>
        <v>14</v>
      </c>
      <c r="B30" s="1014" t="s">
        <v>567</v>
      </c>
      <c r="C30" s="1019"/>
      <c r="D30" s="1011"/>
      <c r="E30" s="304">
        <v>41250</v>
      </c>
    </row>
    <row r="31" spans="1:21" ht="27" customHeight="1">
      <c r="A31" s="846">
        <f t="shared" si="0"/>
        <v>15</v>
      </c>
      <c r="B31" s="1296" t="str">
        <f>"Less: Total Hedge (Gain)/Expense Accumulated from p 256-257, col (i) of FERC Form 1 included in Ln "&amp;A30&amp;" and shown in Ln "&amp;A54&amp;" below."</f>
        <v>Less: Total Hedge (Gain)/Expense Accumulated from p 256-257, col (i) of FERC Form 1 included in Ln 14 and shown in Ln 32 below.</v>
      </c>
      <c r="C31" s="1296"/>
      <c r="D31" s="1011"/>
      <c r="E31" s="865">
        <f>C54</f>
        <v>0</v>
      </c>
      <c r="F31" s="1020"/>
      <c r="H31" s="994"/>
      <c r="I31" s="994"/>
      <c r="J31" s="994"/>
      <c r="K31" s="994"/>
      <c r="L31" s="994"/>
      <c r="M31" s="994"/>
      <c r="N31" s="994"/>
      <c r="O31" s="994"/>
      <c r="P31" s="994"/>
      <c r="Q31" s="994"/>
      <c r="R31" s="994"/>
      <c r="S31" s="994"/>
      <c r="T31" s="994"/>
      <c r="U31" s="994"/>
    </row>
    <row r="32" spans="1:21" ht="12.75" customHeight="1">
      <c r="A32" s="846">
        <f t="shared" si="0"/>
        <v>16</v>
      </c>
      <c r="B32" s="1014" t="s">
        <v>556</v>
      </c>
      <c r="C32" s="352"/>
      <c r="D32" s="352"/>
      <c r="E32" s="304">
        <v>0</v>
      </c>
      <c r="F32" s="1020"/>
      <c r="H32" s="994"/>
      <c r="I32" s="994"/>
      <c r="J32" s="994"/>
      <c r="K32" s="994"/>
      <c r="L32" s="994"/>
      <c r="M32" s="994"/>
      <c r="N32" s="994"/>
      <c r="O32" s="994"/>
      <c r="P32" s="994"/>
      <c r="Q32" s="994"/>
      <c r="R32" s="994"/>
      <c r="S32" s="994"/>
      <c r="T32" s="994"/>
      <c r="U32" s="994"/>
    </row>
    <row r="33" spans="1:21" ht="12.75" customHeight="1">
      <c r="A33" s="846">
        <f t="shared" si="0"/>
        <v>17</v>
      </c>
      <c r="B33" s="1014" t="s">
        <v>557</v>
      </c>
      <c r="C33" s="1021"/>
      <c r="D33" s="1011"/>
      <c r="E33" s="304">
        <v>0</v>
      </c>
      <c r="F33" s="1022"/>
      <c r="H33" s="994"/>
      <c r="I33" s="994"/>
      <c r="J33" s="994"/>
      <c r="K33" s="994"/>
      <c r="L33" s="994"/>
      <c r="M33" s="994"/>
      <c r="N33" s="994"/>
      <c r="O33" s="994"/>
      <c r="P33" s="994"/>
      <c r="Q33" s="994"/>
      <c r="R33" s="994"/>
      <c r="S33" s="994"/>
      <c r="T33" s="994"/>
      <c r="U33" s="994"/>
    </row>
    <row r="34" spans="1:5" ht="12.75" customHeight="1">
      <c r="A34" s="846">
        <f t="shared" si="0"/>
        <v>18</v>
      </c>
      <c r="B34" s="1014" t="s">
        <v>558</v>
      </c>
      <c r="C34" s="1021"/>
      <c r="D34" s="1011"/>
      <c r="E34" s="1049">
        <v>0</v>
      </c>
    </row>
    <row r="35" spans="1:5" ht="12.75" customHeight="1">
      <c r="A35" s="846">
        <f t="shared" si="0"/>
        <v>19</v>
      </c>
      <c r="B35" s="1014" t="s">
        <v>559</v>
      </c>
      <c r="C35" s="1021"/>
      <c r="D35" s="1011"/>
      <c r="E35" s="1050">
        <v>0</v>
      </c>
    </row>
    <row r="36" spans="1:6" ht="12.75" customHeight="1">
      <c r="A36" s="1007">
        <f t="shared" si="0"/>
        <v>20</v>
      </c>
      <c r="B36" s="1017" t="str">
        <f>"Total Interest Expense (Ln "&amp;A30&amp;" - Ln "&amp;A31&amp;" + Ln "&amp;A32&amp;" + Ln "&amp;A33&amp;" - Ln "&amp;A34&amp;" - Ln "&amp;A35&amp;")"</f>
        <v>Total Interest Expense (Ln 14 - Ln 15 + Ln 16 + Ln 17 - Ln 18 - Ln 19)</v>
      </c>
      <c r="C36" s="1023"/>
      <c r="D36" s="1003"/>
      <c r="E36" s="1024">
        <f>+E30-E31+E32+E33-E34-E35</f>
        <v>41250</v>
      </c>
      <c r="F36" s="1025"/>
    </row>
    <row r="37" spans="1:5" ht="12.75" customHeight="1" thickBot="1">
      <c r="A37" s="846"/>
      <c r="B37" s="1014"/>
      <c r="C37" s="1021"/>
      <c r="D37" s="1011"/>
      <c r="E37" s="1026"/>
    </row>
    <row r="38" spans="1:8" ht="12.75" customHeight="1" thickBot="1">
      <c r="A38" s="1007">
        <f>+A36+1</f>
        <v>21</v>
      </c>
      <c r="B38" s="1017" t="str">
        <f>"Average Cost of Debt for "&amp;TCOS!O1&amp;" (Ln 20/Ln 11)"</f>
        <v>Average Cost of Debt for   (Ln 20/Ln 11)</v>
      </c>
      <c r="C38" s="1023"/>
      <c r="D38" s="1011"/>
      <c r="E38" s="1027">
        <f>IF(E36=0,0,+E36/E24)</f>
        <v>0.0125</v>
      </c>
      <c r="F38" s="1020"/>
      <c r="H38" s="994"/>
    </row>
    <row r="39" spans="1:5" ht="12.75" customHeight="1">
      <c r="A39" s="1007"/>
      <c r="B39" s="1017"/>
      <c r="C39" s="1023"/>
      <c r="D39" s="1011"/>
      <c r="E39" s="1023"/>
    </row>
    <row r="40" spans="1:5" ht="12.75" customHeight="1">
      <c r="A40" s="1028"/>
      <c r="B40" s="1298" t="s">
        <v>380</v>
      </c>
      <c r="C40" s="1298"/>
      <c r="D40" s="1298"/>
      <c r="E40" s="1298"/>
    </row>
    <row r="41" spans="1:6" ht="14.25">
      <c r="A41" s="1028">
        <f>A38+1</f>
        <v>22</v>
      </c>
      <c r="B41" s="1299" t="str">
        <f>""&amp;TCOS!F7&amp;" may not include costs (or gains) related to interest hedging activities"</f>
        <v>AEP APPALACHIAN TRANSMISSION COMPANY may not include costs (or gains) related to interest hedging activities</v>
      </c>
      <c r="C41" s="1299"/>
      <c r="D41" s="1299"/>
      <c r="E41" s="1299"/>
      <c r="F41" s="1299"/>
    </row>
    <row r="42" spans="1:6" ht="12.75" customHeight="1">
      <c r="A42" s="1028"/>
      <c r="B42" s="557"/>
      <c r="C42" s="557"/>
      <c r="D42" s="557"/>
      <c r="E42" s="1297" t="s">
        <v>306</v>
      </c>
      <c r="F42" s="1297"/>
    </row>
    <row r="43" spans="1:7" ht="39" customHeight="1">
      <c r="A43" s="1028"/>
      <c r="B43" s="1030" t="s">
        <v>307</v>
      </c>
      <c r="C43" s="1030" t="str">
        <f>"(Amortization of (Gain)/Loss for "&amp;TCOS!O1&amp;""</f>
        <v>(Amortization of (Gain)/Loss for  </v>
      </c>
      <c r="D43" s="1029" t="s">
        <v>308</v>
      </c>
      <c r="E43" s="1029" t="s">
        <v>130</v>
      </c>
      <c r="F43" s="1029" t="s">
        <v>132</v>
      </c>
      <c r="G43" s="995"/>
    </row>
    <row r="44" spans="1:7" ht="12.75" customHeight="1">
      <c r="A44" s="1028">
        <f>A41+1</f>
        <v>23</v>
      </c>
      <c r="B44" s="1051"/>
      <c r="C44" s="1052"/>
      <c r="D44" s="1049"/>
      <c r="E44" s="1053"/>
      <c r="F44" s="1053"/>
      <c r="G44" s="995"/>
    </row>
    <row r="45" spans="1:7" ht="12.75" customHeight="1">
      <c r="A45" s="1028">
        <f>A44+1</f>
        <v>24</v>
      </c>
      <c r="B45" s="1051"/>
      <c r="C45" s="1052"/>
      <c r="D45" s="1049"/>
      <c r="E45" s="1053"/>
      <c r="F45" s="1053"/>
      <c r="G45" s="995"/>
    </row>
    <row r="46" spans="1:7" ht="12.75" customHeight="1">
      <c r="A46" s="1028">
        <f aca="true" t="shared" si="1" ref="A46:A52">A45+1</f>
        <v>25</v>
      </c>
      <c r="B46" s="1051"/>
      <c r="C46" s="1049"/>
      <c r="D46" s="1049"/>
      <c r="E46" s="1053"/>
      <c r="F46" s="1053"/>
      <c r="G46" s="995"/>
    </row>
    <row r="47" spans="1:7" ht="12.75" customHeight="1">
      <c r="A47" s="1028">
        <f t="shared" si="1"/>
        <v>26</v>
      </c>
      <c r="B47" s="1051"/>
      <c r="C47" s="1049"/>
      <c r="D47" s="1049"/>
      <c r="E47" s="1053"/>
      <c r="F47" s="1053"/>
      <c r="G47" s="995"/>
    </row>
    <row r="48" spans="1:7" ht="12.75" customHeight="1">
      <c r="A48" s="1028">
        <f t="shared" si="1"/>
        <v>27</v>
      </c>
      <c r="B48" s="1051"/>
      <c r="C48" s="1049"/>
      <c r="D48" s="1049"/>
      <c r="E48" s="1053"/>
      <c r="F48" s="1053"/>
      <c r="G48" s="995"/>
    </row>
    <row r="49" spans="1:7" ht="12.75" customHeight="1">
      <c r="A49" s="1028">
        <f t="shared" si="1"/>
        <v>28</v>
      </c>
      <c r="B49" s="1051"/>
      <c r="C49" s="1049"/>
      <c r="D49" s="1049"/>
      <c r="E49" s="1053"/>
      <c r="F49" s="1053"/>
      <c r="G49" s="995"/>
    </row>
    <row r="50" spans="1:7" ht="12.75" customHeight="1">
      <c r="A50" s="1028">
        <f t="shared" si="1"/>
        <v>29</v>
      </c>
      <c r="B50" s="1051"/>
      <c r="C50" s="1049"/>
      <c r="D50" s="1049"/>
      <c r="E50" s="1053"/>
      <c r="F50" s="1053"/>
      <c r="G50" s="995"/>
    </row>
    <row r="51" spans="1:7" ht="12.75" customHeight="1">
      <c r="A51" s="1028">
        <f t="shared" si="1"/>
        <v>30</v>
      </c>
      <c r="B51" s="1051"/>
      <c r="C51" s="1049"/>
      <c r="D51" s="1049"/>
      <c r="E51" s="1053"/>
      <c r="F51" s="1053"/>
      <c r="G51" s="995"/>
    </row>
    <row r="52" spans="1:7" ht="12.75" customHeight="1">
      <c r="A52" s="1028">
        <f t="shared" si="1"/>
        <v>31</v>
      </c>
      <c r="B52" s="1051"/>
      <c r="C52" s="1049"/>
      <c r="D52" s="1049"/>
      <c r="E52" s="1053"/>
      <c r="F52" s="1053"/>
      <c r="G52" s="995"/>
    </row>
    <row r="53" spans="1:7" ht="12.75" customHeight="1">
      <c r="A53" s="1028"/>
      <c r="B53" s="620"/>
      <c r="C53" s="1031"/>
      <c r="F53" s="995"/>
      <c r="G53" s="995"/>
    </row>
    <row r="54" spans="1:7" ht="12.75" customHeight="1">
      <c r="A54" s="846">
        <f>A52+1</f>
        <v>32</v>
      </c>
      <c r="B54" s="1017" t="s">
        <v>347</v>
      </c>
      <c r="C54" s="1032">
        <f>SUM(C44:C52)</f>
        <v>0</v>
      </c>
      <c r="F54" s="995"/>
      <c r="G54" s="995"/>
    </row>
    <row r="55" spans="1:5" ht="12.75" customHeight="1">
      <c r="A55" s="846"/>
      <c r="B55" s="1015"/>
      <c r="C55" s="1032"/>
      <c r="D55" s="1032"/>
      <c r="E55" s="995"/>
    </row>
    <row r="56" spans="1:5" ht="12.75" customHeight="1">
      <c r="A56" s="1033" t="s">
        <v>560</v>
      </c>
      <c r="C56" s="1021"/>
      <c r="D56" s="1011"/>
      <c r="E56" s="1021"/>
    </row>
    <row r="57" spans="1:5" ht="12.75" customHeight="1">
      <c r="A57" s="846"/>
      <c r="B57" s="1014"/>
      <c r="C57" s="1021"/>
      <c r="D57" s="1011"/>
      <c r="E57" s="1021"/>
    </row>
    <row r="58" spans="1:5" ht="12.75" customHeight="1">
      <c r="A58" s="846"/>
      <c r="B58" s="1034" t="s">
        <v>100</v>
      </c>
      <c r="C58" s="1035"/>
      <c r="D58" s="1012"/>
      <c r="E58" s="1035" t="s">
        <v>438</v>
      </c>
    </row>
    <row r="59" spans="1:5" ht="12.75" customHeight="1">
      <c r="A59" s="846">
        <f>+A54+1</f>
        <v>33</v>
      </c>
      <c r="B59" s="1011" t="str">
        <f>""&amp;C$59*100&amp;"% Series - "&amp;C$60&amp;" - Dividend Rate (p. 250-251. 7 &amp; 10.a)"</f>
        <v>0% Series -  - Dividend Rate (p. 250-251. 7 &amp; 10.a)</v>
      </c>
      <c r="C59" s="1054"/>
      <c r="D59" s="1054"/>
      <c r="E59" s="1035"/>
    </row>
    <row r="60" spans="1:5" ht="12.75" customHeight="1">
      <c r="A60" s="846">
        <f>+A59+1</f>
        <v>34</v>
      </c>
      <c r="B60" s="1011" t="str">
        <f>""&amp;C$59*100&amp;"% Series - "&amp;C$60&amp;" - Par Value (p. 250-251. 8.c)"</f>
        <v>0% Series -  - Par Value (p. 250-251. 8.c)</v>
      </c>
      <c r="C60" s="1055"/>
      <c r="D60" s="1055"/>
      <c r="E60" s="1035"/>
    </row>
    <row r="61" spans="1:5" ht="12.75" customHeight="1">
      <c r="A61" s="846">
        <f>+A60+1</f>
        <v>35</v>
      </c>
      <c r="B61" s="1011" t="str">
        <f>""&amp;C$59*100&amp;"% Series - "&amp;C$60&amp;" - Shares O/S (p.250-251. 8 &amp; 11.e) "</f>
        <v>0% Series -  - Shares O/S (p.250-251. 8 &amp; 11.e) </v>
      </c>
      <c r="C61" s="1056"/>
      <c r="D61" s="1057"/>
      <c r="E61" s="1036"/>
    </row>
    <row r="62" spans="1:5" ht="12.75" customHeight="1">
      <c r="A62" s="846">
        <f>+A61+1</f>
        <v>36</v>
      </c>
      <c r="B62" s="1011" t="str">
        <f>""&amp;C$59*100&amp;"% Series - "&amp;C$60&amp;" - Monetary Value (Ln "&amp;A60&amp;" * Ln "&amp;A61&amp;")"</f>
        <v>0% Series -  - Monetary Value (Ln 34 * Ln 35)</v>
      </c>
      <c r="C62" s="1037">
        <f>+C61*C60</f>
        <v>0</v>
      </c>
      <c r="D62" s="1038">
        <f>+D61*D60</f>
        <v>0</v>
      </c>
      <c r="E62" s="1004">
        <f>IF(C62=D62=0,0,AVERAGE(C62:D62))</f>
        <v>0</v>
      </c>
    </row>
    <row r="63" spans="1:6" ht="12.75" customHeight="1">
      <c r="A63" s="846">
        <f>+A62+1</f>
        <v>37</v>
      </c>
      <c r="B63" s="1011" t="str">
        <f>""&amp;C$59*100&amp;"% Series - "&amp;C$60&amp;" -  Dividend Amount (Ln "&amp;A59&amp;" * Ln "&amp;A62&amp;")"</f>
        <v>0% Series -  -  Dividend Amount (Ln 33 * Ln 36)</v>
      </c>
      <c r="C63" s="1037">
        <f>C59*C62</f>
        <v>0</v>
      </c>
      <c r="D63" s="1037">
        <f>D59*D62</f>
        <v>0</v>
      </c>
      <c r="E63" s="1004">
        <f>IF(C63=D63=0,0,AVERAGE(C63:D63))</f>
        <v>0</v>
      </c>
      <c r="F63" s="1020"/>
    </row>
    <row r="64" spans="1:5" ht="12.75" customHeight="1">
      <c r="A64" s="846"/>
      <c r="B64" s="1011"/>
      <c r="C64" s="1037"/>
      <c r="D64" s="1039"/>
      <c r="E64" s="1040"/>
    </row>
    <row r="65" spans="1:5" ht="12.75" customHeight="1">
      <c r="A65" s="846">
        <f>+A63+1</f>
        <v>38</v>
      </c>
      <c r="B65" s="1011" t="str">
        <f>""&amp;C$65*100&amp;"% Series - "&amp;C$66&amp;" - Dividend Rate (p. 250-251.a)"</f>
        <v>0% Series -  - Dividend Rate (p. 250-251.a)</v>
      </c>
      <c r="C65" s="1054"/>
      <c r="D65" s="1054"/>
      <c r="E65" s="1040"/>
    </row>
    <row r="66" spans="1:5" ht="12.75" customHeight="1">
      <c r="A66" s="846">
        <f>+A65+1</f>
        <v>39</v>
      </c>
      <c r="B66" s="1011" t="str">
        <f>""&amp;C$65*100&amp;"% Series - "&amp;C$66&amp;" - Par Value (p. 250-251.c)"</f>
        <v>0% Series -  - Par Value (p. 250-251.c)</v>
      </c>
      <c r="C66" s="1055"/>
      <c r="D66" s="1055"/>
      <c r="E66" s="1040"/>
    </row>
    <row r="67" spans="1:5" ht="12.75" customHeight="1">
      <c r="A67" s="846">
        <f>+A66+1</f>
        <v>40</v>
      </c>
      <c r="B67" s="1011" t="str">
        <f>""&amp;C$65*100&amp;"% Series - "&amp;C$66&amp;" - Shares O/S (p.250-251. e) "</f>
        <v>0% Series -  - Shares O/S (p.250-251. e) </v>
      </c>
      <c r="C67" s="1056"/>
      <c r="D67" s="1057"/>
      <c r="E67" s="1040"/>
    </row>
    <row r="68" spans="1:5" ht="12.75" customHeight="1">
      <c r="A68" s="846">
        <f>+A67+1</f>
        <v>41</v>
      </c>
      <c r="B68" s="1011" t="str">
        <f>""&amp;C$65*100&amp;"% Series - "&amp;C$66&amp;" - Monetary Value (Ln "&amp;A66&amp;" * Ln "&amp;A67&amp;")"</f>
        <v>0% Series -  - Monetary Value (Ln 39 * Ln 40)</v>
      </c>
      <c r="C68" s="1037">
        <f>+C67*C66</f>
        <v>0</v>
      </c>
      <c r="D68" s="1037">
        <f>+D67*D66</f>
        <v>0</v>
      </c>
      <c r="E68" s="1004">
        <f>IF(C68=D68=0,0,AVERAGE(C68:D68))</f>
        <v>0</v>
      </c>
    </row>
    <row r="69" spans="1:6" ht="12.75" customHeight="1">
      <c r="A69" s="846">
        <f>+A68+1</f>
        <v>42</v>
      </c>
      <c r="B69" s="1011" t="str">
        <f>""&amp;C$65*100&amp;"% Series - "&amp;C$68&amp;" -  Dividend Amount (Ln "&amp;A65&amp;" * Ln "&amp;A68&amp;")"</f>
        <v>0% Series - 0 -  Dividend Amount (Ln 38 * Ln 41)</v>
      </c>
      <c r="C69" s="865">
        <f>+C68*C65</f>
        <v>0</v>
      </c>
      <c r="D69" s="865">
        <f>+D68*D65</f>
        <v>0</v>
      </c>
      <c r="E69" s="1004">
        <f>IF(C69=D69=0,0,AVERAGE(C69:D69))</f>
        <v>0</v>
      </c>
      <c r="F69" s="1020"/>
    </row>
    <row r="70" spans="1:5" ht="12.75" customHeight="1">
      <c r="A70" s="846"/>
      <c r="B70" s="1011"/>
      <c r="C70" s="865"/>
      <c r="D70" s="865"/>
      <c r="E70" s="1004"/>
    </row>
    <row r="71" spans="1:5" ht="12.75" customHeight="1">
      <c r="A71" s="846">
        <f>+A69+1</f>
        <v>43</v>
      </c>
      <c r="B71" s="1011" t="str">
        <f>""&amp;C$71*100&amp;"% Series - "&amp;C$72&amp;" - Dividend Rate (p. 250-251.a)"</f>
        <v>0% Series -  - Dividend Rate (p. 250-251.a)</v>
      </c>
      <c r="C71" s="1054"/>
      <c r="D71" s="1054"/>
      <c r="E71" s="1004"/>
    </row>
    <row r="72" spans="1:5" ht="12.75" customHeight="1">
      <c r="A72" s="846">
        <f>+A71+1</f>
        <v>44</v>
      </c>
      <c r="B72" s="1011" t="str">
        <f>""&amp;C$71*100&amp;"% Series - "&amp;C$72&amp;" - Par Value (p. 250-251.c)"</f>
        <v>0% Series -  - Par Value (p. 250-251.c)</v>
      </c>
      <c r="C72" s="1055"/>
      <c r="D72" s="1055"/>
      <c r="E72" s="1004"/>
    </row>
    <row r="73" spans="1:5" ht="12.75" customHeight="1">
      <c r="A73" s="846">
        <f>+A72+1</f>
        <v>45</v>
      </c>
      <c r="B73" s="1011" t="str">
        <f>""&amp;C$71*100&amp;"% Series - "&amp;C$72&amp;" - Shares O/S (p.250-251.e) "</f>
        <v>0% Series -  - Shares O/S (p.250-251.e) </v>
      </c>
      <c r="C73" s="1056"/>
      <c r="D73" s="1057"/>
      <c r="E73" s="1040"/>
    </row>
    <row r="74" spans="1:5" ht="12.75" customHeight="1">
      <c r="A74" s="846">
        <f>+A73+1</f>
        <v>46</v>
      </c>
      <c r="B74" s="1011" t="str">
        <f>""&amp;C$71*100&amp;"% Series - "&amp;C$72&amp;" - Monetary Value (Ln "&amp;A72&amp;" * Ln "&amp;A73&amp;")"</f>
        <v>0% Series -  - Monetary Value (Ln 44 * Ln 45)</v>
      </c>
      <c r="C74" s="1037">
        <f>+C73*C72</f>
        <v>0</v>
      </c>
      <c r="D74" s="1037">
        <f>+D73*D72</f>
        <v>0</v>
      </c>
      <c r="E74" s="1004">
        <f>IF(C74=D74=0,0,AVERAGE(C74:D74))</f>
        <v>0</v>
      </c>
    </row>
    <row r="75" spans="1:6" ht="12.75" customHeight="1">
      <c r="A75" s="846">
        <f>+A74+1</f>
        <v>47</v>
      </c>
      <c r="B75" s="1011" t="str">
        <f>""&amp;C$71*100&amp;"% Series - "&amp;C$72&amp;" -  Dividend Amount (Ln "&amp;A71&amp;" * Ln "&amp;A74&amp;")"</f>
        <v>0% Series -  -  Dividend Amount (Ln 43 * Ln 46)</v>
      </c>
      <c r="C75" s="865">
        <f>+C74*C71</f>
        <v>0</v>
      </c>
      <c r="D75" s="865">
        <f>+D74*D71</f>
        <v>0</v>
      </c>
      <c r="E75" s="1004">
        <f>IF(C75=D75=0,0,AVERAGE(C75:D75))</f>
        <v>0</v>
      </c>
      <c r="F75" s="1020"/>
    </row>
    <row r="76" spans="1:4" ht="12.75" customHeight="1">
      <c r="A76" s="846"/>
      <c r="B76" s="1011"/>
      <c r="C76" s="865"/>
      <c r="D76" s="865"/>
    </row>
    <row r="77" spans="1:6" ht="12.75" customHeight="1">
      <c r="A77" s="846">
        <f>+A75+1</f>
        <v>48</v>
      </c>
      <c r="B77" s="1003" t="str">
        <f>"Balance of Preferred Stock (Lns "&amp;A62&amp;", "&amp;A68&amp;", "&amp;A74&amp;")"</f>
        <v>Balance of Preferred Stock (Lns 36, 41, 46)</v>
      </c>
      <c r="C77" s="865">
        <f>+C62+C68+C74</f>
        <v>0</v>
      </c>
      <c r="D77" s="865">
        <f>+D62+D68+D74</f>
        <v>0</v>
      </c>
      <c r="E77" s="1041">
        <f>+E62+E68+E74</f>
        <v>0</v>
      </c>
      <c r="F77" s="1042" t="s">
        <v>388</v>
      </c>
    </row>
    <row r="78" spans="1:5" ht="12.75" customHeight="1" thickBot="1">
      <c r="A78" s="846">
        <f>+A77+1</f>
        <v>49</v>
      </c>
      <c r="B78" s="1003" t="str">
        <f>"Dividends on Preferred Stock (Lns "&amp;A63&amp;", "&amp;A69&amp;", "&amp;A75&amp;")"</f>
        <v>Dividends on Preferred Stock (Lns 37, 42, 47)</v>
      </c>
      <c r="C78" s="1043">
        <f>+C69+C63+C75</f>
        <v>0</v>
      </c>
      <c r="D78" s="1043">
        <f>+D69+D63+D75</f>
        <v>0</v>
      </c>
      <c r="E78" s="1044">
        <f>+E75+E69+E63</f>
        <v>0</v>
      </c>
    </row>
    <row r="79" spans="1:5" ht="12.75" customHeight="1" thickBot="1">
      <c r="A79" s="846">
        <f>+A78+1</f>
        <v>50</v>
      </c>
      <c r="B79" s="1045" t="str">
        <f>"Average Cost of Preferred Stock (Ln "&amp;A78&amp;"/"&amp;A77&amp;")"</f>
        <v>Average Cost of Preferred Stock (Ln 49/48)</v>
      </c>
      <c r="C79" s="1046">
        <f>IF(C77=0,0,C78/C77)</f>
        <v>0</v>
      </c>
      <c r="D79" s="1046">
        <f>IF(D77=0,0,D78/D77)</f>
        <v>0</v>
      </c>
      <c r="E79" s="1027">
        <f>IF(E78=0,0,+E78/E77)</f>
        <v>0</v>
      </c>
    </row>
    <row r="80" spans="1:5" ht="12.75" customHeight="1">
      <c r="A80" s="846"/>
      <c r="B80" s="1045"/>
      <c r="C80" s="1046"/>
      <c r="D80" s="1046"/>
      <c r="E80" s="1023"/>
    </row>
  </sheetData>
  <sheetProtection password="CA99" sheet="1" objects="1" scenarios="1"/>
  <mergeCells count="10">
    <mergeCell ref="A1:E1"/>
    <mergeCell ref="A2:E2"/>
    <mergeCell ref="A3:E3"/>
    <mergeCell ref="B31:C31"/>
    <mergeCell ref="E42:F42"/>
    <mergeCell ref="B40:E40"/>
    <mergeCell ref="B41:F41"/>
    <mergeCell ref="B26:E28"/>
    <mergeCell ref="B5:F5"/>
    <mergeCell ref="A4:E4"/>
  </mergeCells>
  <printOptions/>
  <pageMargins left="0.7" right="0.72" top="0.91" bottom="0.7" header="0.75" footer="0.5"/>
  <pageSetup fitToHeight="1" fitToWidth="1" horizontalDpi="600" verticalDpi="600" orientation="portrait" scale="53"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tabColor rgb="FFCCFFFF"/>
    <pageSetUpPr fitToPage="1"/>
  </sheetPr>
  <dimension ref="A1:U32"/>
  <sheetViews>
    <sheetView zoomScale="81" zoomScaleNormal="81" zoomScalePageLayoutView="0" workbookViewId="0" topLeftCell="A1">
      <selection activeCell="G29" sqref="G29"/>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1.1484375" style="0" customWidth="1"/>
    <col min="17" max="17" width="12.7109375" style="0" customWidth="1"/>
    <col min="18" max="18" width="1.28515625" style="0" customWidth="1"/>
    <col min="19" max="19" width="17.57421875" style="0" customWidth="1"/>
    <col min="20" max="20" width="1.1484375" style="0" customWidth="1"/>
    <col min="21" max="21" width="13.00390625" style="0" customWidth="1"/>
  </cols>
  <sheetData>
    <row r="1" spans="1:15" ht="18">
      <c r="A1" s="1279" t="str">
        <f>TCOS!$F$3</f>
        <v>AEPTCo subsidiaries in PJM</v>
      </c>
      <c r="B1" s="1279" t="str">
        <f>TCOS!$F$3</f>
        <v>AEPTCo subsidiaries in PJM</v>
      </c>
      <c r="C1" s="1279" t="str">
        <f>TCOS!$F$3</f>
        <v>AEPTCo subsidiaries in PJM</v>
      </c>
      <c r="D1" s="1279" t="str">
        <f>TCOS!$F$3</f>
        <v>AEPTCo subsidiaries in PJM</v>
      </c>
      <c r="E1" s="1279" t="str">
        <f>TCOS!$F$3</f>
        <v>AEPTCo subsidiaries in PJM</v>
      </c>
      <c r="F1" s="1279" t="str">
        <f>TCOS!$F$3</f>
        <v>AEPTCo subsidiaries in PJM</v>
      </c>
      <c r="G1" s="1279" t="str">
        <f>TCOS!$F$3</f>
        <v>AEPTCo subsidiaries in PJM</v>
      </c>
      <c r="H1" s="1279" t="str">
        <f>TCOS!$F$3</f>
        <v>AEPTCo subsidiaries in PJM</v>
      </c>
      <c r="I1" s="1279" t="str">
        <f>TCOS!$F$3</f>
        <v>AEPTCo subsidiaries in PJM</v>
      </c>
      <c r="J1" s="1279" t="str">
        <f>TCOS!$F$3</f>
        <v>AEPTCo subsidiaries in PJM</v>
      </c>
      <c r="K1" s="1279" t="str">
        <f>TCOS!$F$3</f>
        <v>AEPTCo subsidiaries in PJM</v>
      </c>
      <c r="L1" s="1279" t="str">
        <f>TCOS!$F$3</f>
        <v>AEPTCo subsidiaries in PJM</v>
      </c>
      <c r="M1" s="1279" t="str">
        <f>TCOS!$F$3</f>
        <v>AEPTCo subsidiaries in PJM</v>
      </c>
      <c r="N1" s="1279" t="str">
        <f>TCOS!$F$3</f>
        <v>AEPTCo subsidiaries in PJM</v>
      </c>
      <c r="O1" s="1279" t="str">
        <f>TCOS!$F$3</f>
        <v>AEPTCo subsidiaries in PJM</v>
      </c>
    </row>
    <row r="2" spans="1:15" ht="18">
      <c r="A2" s="1278" t="str">
        <f>"Cost of Service Formula Rate Using Actual/Projected FF1 Balances"</f>
        <v>Cost of Service Formula Rate Using Actual/Projected FF1 Balances</v>
      </c>
      <c r="B2" s="1278"/>
      <c r="C2" s="1278"/>
      <c r="D2" s="1278"/>
      <c r="E2" s="1278"/>
      <c r="F2" s="1278"/>
      <c r="G2" s="1278"/>
      <c r="H2" s="1278"/>
      <c r="I2" s="1278"/>
      <c r="J2" s="1278"/>
      <c r="K2" s="1278"/>
      <c r="L2" s="1278"/>
      <c r="M2" s="1278"/>
      <c r="N2" s="1278"/>
      <c r="O2" s="1278"/>
    </row>
    <row r="3" spans="1:15" ht="18">
      <c r="A3" s="1278" t="s">
        <v>79</v>
      </c>
      <c r="B3" s="1278"/>
      <c r="C3" s="1278"/>
      <c r="D3" s="1278"/>
      <c r="E3" s="1278"/>
      <c r="F3" s="1278"/>
      <c r="G3" s="1278"/>
      <c r="H3" s="1278"/>
      <c r="I3" s="1278"/>
      <c r="J3" s="1278"/>
      <c r="K3" s="1278"/>
      <c r="L3" s="1278"/>
      <c r="M3" s="1278"/>
      <c r="N3" s="1278"/>
      <c r="O3" s="1278"/>
    </row>
    <row r="4" spans="1:15" ht="18">
      <c r="A4" s="1271" t="str">
        <f>+TCOS!F7</f>
        <v>AEP APPALACHIAN TRANSMISSION COMPANY</v>
      </c>
      <c r="B4" s="1271"/>
      <c r="C4" s="1271"/>
      <c r="D4" s="1271"/>
      <c r="E4" s="1271"/>
      <c r="F4" s="1271"/>
      <c r="G4" s="1271"/>
      <c r="H4" s="1271"/>
      <c r="I4" s="1271"/>
      <c r="J4" s="1271"/>
      <c r="K4" s="1271"/>
      <c r="L4" s="1271"/>
      <c r="M4" s="1271"/>
      <c r="N4" s="1271"/>
      <c r="O4" s="1271"/>
    </row>
    <row r="5" spans="1:12" ht="12.75" customHeight="1">
      <c r="A5" s="178"/>
      <c r="B5" s="178"/>
      <c r="C5" s="178"/>
      <c r="D5" s="178"/>
      <c r="E5" s="178"/>
      <c r="F5" s="178"/>
      <c r="G5" s="178"/>
      <c r="H5" s="178"/>
      <c r="I5" s="178"/>
      <c r="J5" s="178"/>
      <c r="K5" s="178"/>
      <c r="L5" s="178"/>
    </row>
    <row r="6" spans="1:15" ht="12.75" customHeight="1">
      <c r="A6" s="1306" t="s">
        <v>71</v>
      </c>
      <c r="B6" s="1306"/>
      <c r="C6" s="1306"/>
      <c r="D6" s="1306"/>
      <c r="E6" s="1306"/>
      <c r="F6" s="1306"/>
      <c r="G6" s="1306"/>
      <c r="H6" s="1306"/>
      <c r="I6" s="1306"/>
      <c r="J6" s="1306"/>
      <c r="K6" s="1306"/>
      <c r="L6" s="1306"/>
      <c r="M6" s="1306"/>
      <c r="N6" s="1306"/>
      <c r="O6" s="1306"/>
    </row>
    <row r="7" spans="1:15" ht="12.75" customHeight="1">
      <c r="A7" s="1306"/>
      <c r="B7" s="1306"/>
      <c r="C7" s="1306"/>
      <c r="D7" s="1306"/>
      <c r="E7" s="1306"/>
      <c r="F7" s="1306"/>
      <c r="G7" s="1306"/>
      <c r="H7" s="1306"/>
      <c r="I7" s="1306"/>
      <c r="J7" s="1306"/>
      <c r="K7" s="1306"/>
      <c r="L7" s="1306"/>
      <c r="M7" s="1306"/>
      <c r="N7" s="1306"/>
      <c r="O7" s="1306"/>
    </row>
    <row r="8" spans="1:15" ht="12.75">
      <c r="A8" s="1306"/>
      <c r="B8" s="1306"/>
      <c r="C8" s="1306"/>
      <c r="D8" s="1306"/>
      <c r="E8" s="1306"/>
      <c r="F8" s="1306"/>
      <c r="G8" s="1306"/>
      <c r="H8" s="1306"/>
      <c r="I8" s="1306"/>
      <c r="J8" s="1306"/>
      <c r="K8" s="1306"/>
      <c r="L8" s="1306"/>
      <c r="M8" s="1306"/>
      <c r="N8" s="1306"/>
      <c r="O8" s="1306"/>
    </row>
    <row r="9" spans="1:15" ht="12.75">
      <c r="A9" s="1306"/>
      <c r="B9" s="1306"/>
      <c r="C9" s="1306"/>
      <c r="D9" s="1306"/>
      <c r="E9" s="1306"/>
      <c r="F9" s="1306"/>
      <c r="G9" s="1306"/>
      <c r="H9" s="1306"/>
      <c r="I9" s="1306"/>
      <c r="J9" s="1306"/>
      <c r="K9" s="1306"/>
      <c r="L9" s="1306"/>
      <c r="M9" s="1306"/>
      <c r="N9" s="1306"/>
      <c r="O9" s="1306"/>
    </row>
    <row r="10" spans="2:21" ht="12.75">
      <c r="B10" s="5" t="s">
        <v>683</v>
      </c>
      <c r="C10" s="5"/>
      <c r="D10" s="1277" t="s">
        <v>684</v>
      </c>
      <c r="E10" s="1277"/>
      <c r="F10" s="1277"/>
      <c r="G10" s="1277"/>
      <c r="H10" s="5"/>
      <c r="I10" s="5" t="s">
        <v>495</v>
      </c>
      <c r="J10" s="5"/>
      <c r="K10" s="5" t="s">
        <v>686</v>
      </c>
      <c r="L10" s="5"/>
      <c r="M10" s="5" t="s">
        <v>606</v>
      </c>
      <c r="N10" s="5"/>
      <c r="O10" s="5" t="s">
        <v>607</v>
      </c>
      <c r="P10" s="5"/>
      <c r="Q10" s="5" t="s">
        <v>576</v>
      </c>
      <c r="R10" s="5"/>
      <c r="S10" s="5" t="s">
        <v>613</v>
      </c>
      <c r="U10" s="135" t="s">
        <v>432</v>
      </c>
    </row>
    <row r="11" spans="9:21" ht="12.75">
      <c r="I11" s="1217" t="s">
        <v>574</v>
      </c>
      <c r="Q11" s="1304" t="s">
        <v>575</v>
      </c>
      <c r="S11" s="1217" t="s">
        <v>577</v>
      </c>
      <c r="U11" s="297" t="s">
        <v>382</v>
      </c>
    </row>
    <row r="12" spans="1:21" ht="12.75">
      <c r="A12" s="181" t="s">
        <v>573</v>
      </c>
      <c r="B12" s="181" t="s">
        <v>569</v>
      </c>
      <c r="C12" s="181"/>
      <c r="D12" s="220" t="s">
        <v>570</v>
      </c>
      <c r="E12" s="181"/>
      <c r="F12" s="181"/>
      <c r="G12" s="181"/>
      <c r="H12" s="181"/>
      <c r="I12" s="1216"/>
      <c r="J12" s="181"/>
      <c r="K12" s="181" t="s">
        <v>571</v>
      </c>
      <c r="L12" s="181"/>
      <c r="M12" s="181" t="s">
        <v>572</v>
      </c>
      <c r="N12" s="181"/>
      <c r="O12" s="181" t="s">
        <v>423</v>
      </c>
      <c r="Q12" s="1304"/>
      <c r="S12" s="1217"/>
      <c r="U12" s="297" t="s">
        <v>154</v>
      </c>
    </row>
    <row r="13" spans="1:19" ht="12.75">
      <c r="A13" s="181"/>
      <c r="B13" s="181"/>
      <c r="C13" s="181"/>
      <c r="D13" s="220"/>
      <c r="E13" s="181"/>
      <c r="F13" s="181"/>
      <c r="G13" s="181"/>
      <c r="H13" s="181"/>
      <c r="I13" s="9" t="s">
        <v>421</v>
      </c>
      <c r="J13" s="181"/>
      <c r="K13" s="181"/>
      <c r="L13" s="181"/>
      <c r="M13" s="181"/>
      <c r="N13" s="181"/>
      <c r="O13" s="181"/>
      <c r="Q13" s="236"/>
      <c r="S13" s="181" t="s">
        <v>423</v>
      </c>
    </row>
    <row r="14" ht="12.75">
      <c r="I14" t="s">
        <v>422</v>
      </c>
    </row>
    <row r="15" spans="1:21" ht="12.75">
      <c r="A15" s="5">
        <v>1</v>
      </c>
      <c r="B15" s="1058"/>
      <c r="D15" s="1305"/>
      <c r="E15" s="1305"/>
      <c r="F15" s="1305"/>
      <c r="G15" s="1305"/>
      <c r="I15" s="1059"/>
      <c r="K15" s="1056"/>
      <c r="L15" s="158"/>
      <c r="M15" s="1056"/>
      <c r="O15" s="185">
        <f>+K15-M15</f>
        <v>0</v>
      </c>
      <c r="Q15" s="225">
        <f>IF(I15="G",#REF!,IF(I15="T",1,0))</f>
        <v>0</v>
      </c>
      <c r="S15" s="185">
        <f>ROUND(O15*Q15,0)</f>
        <v>0</v>
      </c>
      <c r="U15" s="1060"/>
    </row>
    <row r="16" spans="1:19" ht="12.75">
      <c r="A16" s="5"/>
      <c r="D16" s="1305"/>
      <c r="E16" s="1305"/>
      <c r="F16" s="1305"/>
      <c r="G16" s="1305"/>
      <c r="K16" s="158"/>
      <c r="L16" s="158"/>
      <c r="M16" s="158"/>
      <c r="O16" s="158"/>
      <c r="Q16" s="225"/>
      <c r="S16" s="158"/>
    </row>
    <row r="17" spans="1:19" ht="12.75">
      <c r="A17" s="5"/>
      <c r="D17" s="1305"/>
      <c r="E17" s="1305"/>
      <c r="F17" s="1305"/>
      <c r="G17" s="1305"/>
      <c r="K17" s="158"/>
      <c r="L17" s="158"/>
      <c r="M17" s="158"/>
      <c r="O17" s="158"/>
      <c r="Q17" s="225"/>
      <c r="S17" s="158"/>
    </row>
    <row r="18" spans="1:19" ht="12.75">
      <c r="A18" s="5"/>
      <c r="K18" s="158"/>
      <c r="L18" s="158"/>
      <c r="M18" s="158"/>
      <c r="O18" s="158"/>
      <c r="Q18" s="225"/>
      <c r="S18" s="158"/>
    </row>
    <row r="19" spans="1:19" ht="12.75">
      <c r="A19" s="5"/>
      <c r="K19" s="158"/>
      <c r="L19" s="158"/>
      <c r="M19" s="158"/>
      <c r="O19" s="158"/>
      <c r="Q19" s="225"/>
      <c r="S19" s="158"/>
    </row>
    <row r="20" spans="1:21" ht="12" customHeight="1">
      <c r="A20" s="5">
        <f>+A15+1</f>
        <v>2</v>
      </c>
      <c r="B20" s="1058"/>
      <c r="D20" s="1305"/>
      <c r="E20" s="1305"/>
      <c r="F20" s="1305"/>
      <c r="G20" s="1305"/>
      <c r="I20" s="1059"/>
      <c r="K20" s="1056"/>
      <c r="L20" s="158"/>
      <c r="M20" s="1056"/>
      <c r="O20" s="185">
        <f>+K20-M20</f>
        <v>0</v>
      </c>
      <c r="Q20" s="225">
        <f>IF(I20="G",#REF!,IF(I20="T",1,0))</f>
        <v>0</v>
      </c>
      <c r="S20" s="185">
        <f>ROUND(O20*Q20,0)</f>
        <v>0</v>
      </c>
      <c r="U20" s="1060"/>
    </row>
    <row r="21" spans="1:19" ht="12.75">
      <c r="A21" s="5"/>
      <c r="D21" s="1305"/>
      <c r="E21" s="1305"/>
      <c r="F21" s="1305"/>
      <c r="G21" s="1305"/>
      <c r="K21" s="158"/>
      <c r="L21" s="158"/>
      <c r="M21" s="158"/>
      <c r="O21" s="158"/>
      <c r="Q21" s="225"/>
      <c r="S21" s="158"/>
    </row>
    <row r="22" spans="1:19" ht="12.75">
      <c r="A22" s="5"/>
      <c r="D22" s="1305"/>
      <c r="E22" s="1305"/>
      <c r="F22" s="1305"/>
      <c r="G22" s="1305"/>
      <c r="K22" s="158"/>
      <c r="L22" s="158"/>
      <c r="M22" s="158"/>
      <c r="O22" s="158"/>
      <c r="Q22" s="225"/>
      <c r="S22" s="158"/>
    </row>
    <row r="23" spans="1:19" ht="12.75">
      <c r="A23" s="5"/>
      <c r="I23" s="5"/>
      <c r="K23" s="158"/>
      <c r="L23" s="158"/>
      <c r="M23" s="158"/>
      <c r="O23" s="158"/>
      <c r="Q23" s="225"/>
      <c r="S23" s="158"/>
    </row>
    <row r="24" spans="1:19" ht="12.75">
      <c r="A24" s="5"/>
      <c r="I24" s="5"/>
      <c r="K24" s="158"/>
      <c r="L24" s="158"/>
      <c r="M24" s="158"/>
      <c r="O24" s="158"/>
      <c r="Q24" s="225"/>
      <c r="S24" s="158"/>
    </row>
    <row r="25" spans="1:21" ht="12.75">
      <c r="A25" s="5">
        <f>+A20+1</f>
        <v>3</v>
      </c>
      <c r="B25" s="1058"/>
      <c r="D25" s="1305"/>
      <c r="E25" s="1305"/>
      <c r="F25" s="1305"/>
      <c r="G25" s="1305"/>
      <c r="I25" s="1059"/>
      <c r="K25" s="1056"/>
      <c r="L25" s="158"/>
      <c r="M25" s="1056"/>
      <c r="O25" s="185">
        <f>+K25-M25</f>
        <v>0</v>
      </c>
      <c r="Q25" s="225">
        <f>IF(I25="G",#REF!,IF(I25="T",1,0))</f>
        <v>0</v>
      </c>
      <c r="S25" s="185">
        <f>ROUND(O25*Q25,0)</f>
        <v>0</v>
      </c>
      <c r="U25" s="1060"/>
    </row>
    <row r="26" spans="1:19" ht="12.75">
      <c r="A26" s="5"/>
      <c r="D26" s="1305"/>
      <c r="E26" s="1305"/>
      <c r="F26" s="1305"/>
      <c r="G26" s="1305"/>
      <c r="K26" s="158"/>
      <c r="L26" s="158"/>
      <c r="M26" s="158"/>
      <c r="O26" s="158"/>
      <c r="Q26" s="225"/>
      <c r="S26" s="158"/>
    </row>
    <row r="27" spans="1:17" ht="12.75">
      <c r="A27" s="5"/>
      <c r="D27" s="1305"/>
      <c r="E27" s="1305"/>
      <c r="F27" s="1305"/>
      <c r="G27" s="1305"/>
      <c r="K27" s="158"/>
      <c r="L27" s="158"/>
      <c r="M27" s="158"/>
      <c r="O27" s="158"/>
      <c r="Q27" s="225"/>
    </row>
    <row r="28" spans="1:17" ht="12.75">
      <c r="A28" s="5"/>
      <c r="O28" s="158"/>
      <c r="Q28" s="225"/>
    </row>
    <row r="29" spans="1:17" ht="12.75">
      <c r="A29" s="5"/>
      <c r="O29" s="158"/>
      <c r="Q29" s="225"/>
    </row>
    <row r="30" spans="1:17" ht="12.75">
      <c r="A30" s="5"/>
      <c r="O30" s="158"/>
      <c r="Q30" s="225"/>
    </row>
    <row r="31" spans="1:19" ht="13.5" thickBot="1">
      <c r="A31" s="5">
        <f>+A25+1</f>
        <v>4</v>
      </c>
      <c r="K31" t="str">
        <f>"Net (Gain) or Loss for "&amp;TCOS!O1&amp;""</f>
        <v>Net (Gain) or Loss for  </v>
      </c>
      <c r="O31" s="234">
        <f>SUM(O15:O25)</f>
        <v>0</v>
      </c>
      <c r="Q31" s="235"/>
      <c r="S31" s="234">
        <f>SUM(S15:S25)</f>
        <v>0</v>
      </c>
    </row>
    <row r="32" spans="1:17" ht="13.5" thickTop="1">
      <c r="A32" s="5"/>
      <c r="O32" s="158"/>
      <c r="Q32" s="235"/>
    </row>
  </sheetData>
  <sheetProtection password="CA99" sheet="1" objects="1" scenarios="1"/>
  <mergeCells count="12">
    <mergeCell ref="A4:O4"/>
    <mergeCell ref="A6:O9"/>
    <mergeCell ref="Q11:Q12"/>
    <mergeCell ref="S11:S12"/>
    <mergeCell ref="D15:G17"/>
    <mergeCell ref="D20:G22"/>
    <mergeCell ref="D25:G27"/>
    <mergeCell ref="A1:O1"/>
    <mergeCell ref="A2:O2"/>
    <mergeCell ref="A3:O3"/>
    <mergeCell ref="I11:I12"/>
    <mergeCell ref="D10:G10"/>
  </mergeCells>
  <printOptions/>
  <pageMargins left="0.75" right="0.75" top="1" bottom="1" header="0.75" footer="0.5"/>
  <pageSetup fitToHeight="1" fitToWidth="1" horizontalDpi="600" verticalDpi="600" orientation="landscape" scale="75"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sheetPr>
    <tabColor rgb="FFCCFFFF"/>
  </sheetPr>
  <dimension ref="A1:F35"/>
  <sheetViews>
    <sheetView zoomScale="80" zoomScaleNormal="80" zoomScaleSheetLayoutView="90" zoomScalePageLayoutView="0" workbookViewId="0" topLeftCell="A1">
      <selection activeCell="F34" sqref="F34"/>
    </sheetView>
  </sheetViews>
  <sheetFormatPr defaultColWidth="11.421875" defaultRowHeight="12.75"/>
  <cols>
    <col min="1" max="1" width="37.8515625" style="264" customWidth="1"/>
    <col min="2" max="2" width="25.421875" style="264" customWidth="1"/>
    <col min="3" max="3" width="45.00390625" style="264" customWidth="1"/>
    <col min="4" max="4" width="16.7109375" style="264" bestFit="1" customWidth="1"/>
    <col min="5" max="5" width="11.421875" style="264" customWidth="1"/>
    <col min="6" max="6" width="13.7109375" style="264" bestFit="1" customWidth="1"/>
    <col min="7" max="16384" width="11.421875" style="264" customWidth="1"/>
  </cols>
  <sheetData>
    <row r="1" spans="1:4" ht="15">
      <c r="A1" s="1251" t="str">
        <f>TCOS!$F$3</f>
        <v>AEPTCo subsidiaries in PJM</v>
      </c>
      <c r="B1" s="1251" t="str">
        <f>TCOS!$F$3</f>
        <v>AEPTCo subsidiaries in PJM</v>
      </c>
      <c r="C1" s="1251" t="str">
        <f>TCOS!$F$3</f>
        <v>AEPTCo subsidiaries in PJM</v>
      </c>
      <c r="D1" s="1251" t="str">
        <f>TCOS!$F$3</f>
        <v>AEPTCo subsidiaries in PJM</v>
      </c>
    </row>
    <row r="2" spans="1:4" ht="15">
      <c r="A2" s="1251" t="str">
        <f>"Cost of Service Formula Rate Using Actual/Projected FF1 Balances"</f>
        <v>Cost of Service Formula Rate Using Actual/Projected FF1 Balances</v>
      </c>
      <c r="B2" s="1251"/>
      <c r="C2" s="1251"/>
      <c r="D2" s="1251"/>
    </row>
    <row r="3" spans="1:4" ht="15">
      <c r="A3" s="1251" t="s">
        <v>394</v>
      </c>
      <c r="B3" s="1251"/>
      <c r="C3" s="1251"/>
      <c r="D3" s="1251"/>
    </row>
    <row r="4" spans="1:4" ht="15.75">
      <c r="A4" s="1308" t="s">
        <v>395</v>
      </c>
      <c r="B4" s="1308"/>
      <c r="C4" s="1308"/>
      <c r="D4" s="1308"/>
    </row>
    <row r="5" spans="1:4" ht="15">
      <c r="A5" s="1307" t="str">
        <f>TCOS!F7</f>
        <v>AEP APPALACHIAN TRANSMISSION COMPANY</v>
      </c>
      <c r="B5" s="1307"/>
      <c r="C5" s="1307"/>
      <c r="D5" s="1307"/>
    </row>
    <row r="6" spans="1:4" ht="15.75">
      <c r="A6" s="265"/>
      <c r="B6" s="9"/>
      <c r="C6" s="9"/>
      <c r="D6" s="9"/>
    </row>
    <row r="7" spans="1:4" ht="15.75">
      <c r="A7" s="266"/>
      <c r="B7" s="267"/>
      <c r="C7" s="267"/>
      <c r="D7" s="267"/>
    </row>
    <row r="8" spans="1:4" ht="15">
      <c r="A8" s="268"/>
      <c r="B8" s="268"/>
      <c r="C8" s="268"/>
      <c r="D8" s="268"/>
    </row>
    <row r="9" spans="1:4" ht="15.75">
      <c r="A9" s="269" t="s">
        <v>396</v>
      </c>
      <c r="B9" s="267" t="s">
        <v>683</v>
      </c>
      <c r="C9" s="270"/>
      <c r="D9" s="267" t="s">
        <v>684</v>
      </c>
    </row>
    <row r="10" spans="1:4" ht="15.75">
      <c r="A10" s="127">
        <f>1</f>
        <v>1</v>
      </c>
      <c r="B10" s="271" t="s">
        <v>397</v>
      </c>
      <c r="C10" s="246"/>
      <c r="D10" s="127"/>
    </row>
    <row r="11" spans="1:4" ht="15.75">
      <c r="A11" s="127"/>
      <c r="B11" s="271"/>
      <c r="C11" s="246"/>
      <c r="D11" s="127"/>
    </row>
    <row r="12" spans="1:4" ht="15">
      <c r="A12" s="127"/>
      <c r="B12" s="272"/>
      <c r="C12" s="272"/>
      <c r="D12" s="272"/>
    </row>
    <row r="13" spans="1:4" ht="15.75">
      <c r="A13" s="127">
        <f>A10+1</f>
        <v>2</v>
      </c>
      <c r="B13" s="273" t="s">
        <v>770</v>
      </c>
      <c r="C13" s="274"/>
      <c r="D13" s="275"/>
    </row>
    <row r="14" spans="1:6" ht="15">
      <c r="A14" s="127">
        <f aca="true" t="shared" si="0" ref="A14:A21">+A13+1</f>
        <v>3</v>
      </c>
      <c r="B14" s="276" t="s">
        <v>771</v>
      </c>
      <c r="C14" s="276"/>
      <c r="D14" s="1061">
        <v>-92333868</v>
      </c>
      <c r="F14" s="294"/>
    </row>
    <row r="15" spans="1:6" ht="15">
      <c r="A15" s="127">
        <f t="shared" si="0"/>
        <v>4</v>
      </c>
      <c r="B15" s="276" t="s">
        <v>398</v>
      </c>
      <c r="C15" s="276"/>
      <c r="D15" s="277">
        <v>0</v>
      </c>
      <c r="F15" s="294"/>
    </row>
    <row r="16" spans="1:4" ht="15">
      <c r="A16" s="127">
        <f t="shared" si="0"/>
        <v>5</v>
      </c>
      <c r="B16" s="276" t="s">
        <v>399</v>
      </c>
      <c r="C16" s="276"/>
      <c r="D16" s="278">
        <f>+D14-D15</f>
        <v>-92333868</v>
      </c>
    </row>
    <row r="17" spans="1:4" ht="15">
      <c r="A17" s="127">
        <f t="shared" si="0"/>
        <v>6</v>
      </c>
      <c r="B17" s="276" t="s">
        <v>772</v>
      </c>
      <c r="C17" s="276"/>
      <c r="D17" s="1061">
        <v>1314167143.79</v>
      </c>
    </row>
    <row r="18" spans="1:4" ht="15.75">
      <c r="A18" s="127">
        <f t="shared" si="0"/>
        <v>7</v>
      </c>
      <c r="B18" s="276" t="s">
        <v>773</v>
      </c>
      <c r="C18" s="279"/>
      <c r="D18" s="280">
        <f>+D16/D17</f>
        <v>-0.07026036865730276</v>
      </c>
    </row>
    <row r="19" spans="1:5" ht="15.75">
      <c r="A19" s="127">
        <f t="shared" si="0"/>
        <v>8</v>
      </c>
      <c r="B19" s="276" t="s">
        <v>309</v>
      </c>
      <c r="C19" s="279"/>
      <c r="D19" s="1062">
        <v>-0.058</v>
      </c>
      <c r="E19" s="289"/>
    </row>
    <row r="20" spans="1:4" ht="15">
      <c r="A20" s="127">
        <f t="shared" si="0"/>
        <v>9</v>
      </c>
      <c r="B20" s="276" t="s">
        <v>310</v>
      </c>
      <c r="C20" s="276"/>
      <c r="D20" s="1063">
        <v>27598</v>
      </c>
    </row>
    <row r="21" spans="1:4" ht="15">
      <c r="A21" s="127">
        <f t="shared" si="0"/>
        <v>10</v>
      </c>
      <c r="B21" s="276" t="str">
        <f>"Allowable TransCo PBOP Expense for current year (Ln "&amp;A19&amp;" * Ln "&amp;A20&amp;")"</f>
        <v>Allowable TransCo PBOP Expense for current year (Ln 8 * Ln 9)</v>
      </c>
      <c r="C21" s="276"/>
      <c r="D21" s="281">
        <f>+D19*D20</f>
        <v>-1600.684</v>
      </c>
    </row>
    <row r="22" spans="1:4" ht="15">
      <c r="A22" s="127"/>
      <c r="B22" s="276"/>
      <c r="C22" s="276"/>
      <c r="D22" s="281"/>
    </row>
    <row r="23" spans="1:4" ht="15">
      <c r="A23" s="127"/>
      <c r="B23" s="276"/>
      <c r="C23" s="276"/>
      <c r="D23" s="281"/>
    </row>
    <row r="24" spans="1:4" ht="15">
      <c r="A24" s="127">
        <f>+A21+1</f>
        <v>11</v>
      </c>
      <c r="B24" s="282" t="s">
        <v>400</v>
      </c>
      <c r="C24" s="276"/>
      <c r="D24" s="1064">
        <v>0</v>
      </c>
    </row>
    <row r="25" spans="1:4" ht="15">
      <c r="A25" s="127">
        <f>+A24+1</f>
        <v>12</v>
      </c>
      <c r="B25" s="283" t="s">
        <v>401</v>
      </c>
      <c r="C25" s="276"/>
      <c r="D25" s="1064">
        <v>0</v>
      </c>
    </row>
    <row r="26" spans="1:4" ht="15">
      <c r="A26" s="127">
        <f>+A25+1</f>
        <v>13</v>
      </c>
      <c r="B26" s="283" t="s">
        <v>311</v>
      </c>
      <c r="C26" s="276"/>
      <c r="D26" s="1064">
        <v>0</v>
      </c>
    </row>
    <row r="27" spans="1:4" ht="15.75" thickBot="1">
      <c r="A27" s="284">
        <f>+A26+1</f>
        <v>14</v>
      </c>
      <c r="B27" s="285" t="s">
        <v>81</v>
      </c>
      <c r="C27" s="286"/>
      <c r="D27" s="1065">
        <v>-1312</v>
      </c>
    </row>
    <row r="28" spans="1:4" ht="15">
      <c r="A28" s="127">
        <f>+A27+1</f>
        <v>15</v>
      </c>
      <c r="B28" s="272" t="s">
        <v>402</v>
      </c>
      <c r="C28" s="272" t="str">
        <f>"(Sum Lines "&amp;A24&amp;"-"&amp;A27&amp;")"</f>
        <v>(Sum Lines 11-14)</v>
      </c>
      <c r="D28" s="287">
        <f>SUM(D24:D27)</f>
        <v>-1312</v>
      </c>
    </row>
    <row r="29" spans="1:4" ht="15">
      <c r="A29" s="127"/>
      <c r="B29" s="272"/>
      <c r="C29" s="272"/>
      <c r="D29" s="287"/>
    </row>
    <row r="30" spans="1:4" ht="15">
      <c r="A30" s="127"/>
      <c r="B30" s="272"/>
      <c r="C30" s="272"/>
      <c r="D30" s="287"/>
    </row>
    <row r="31" spans="1:4" s="105" customFormat="1" ht="15">
      <c r="A31" s="127">
        <f>A28+1</f>
        <v>16</v>
      </c>
      <c r="B31" s="272" t="s">
        <v>403</v>
      </c>
      <c r="C31" s="272" t="str">
        <f>"Line "&amp;A21&amp;" less Line "&amp;A28&amp;""</f>
        <v>Line 10 less Line 15</v>
      </c>
      <c r="D31" s="288">
        <f>D21-D28</f>
        <v>-288.68399999999997</v>
      </c>
    </row>
    <row r="32" spans="1:4" s="105" customFormat="1" ht="15">
      <c r="A32" s="127"/>
      <c r="B32" s="272"/>
      <c r="C32" s="272"/>
      <c r="D32" s="288"/>
    </row>
    <row r="33" ht="15">
      <c r="A33" s="283" t="s">
        <v>887</v>
      </c>
    </row>
    <row r="34" ht="15" customHeight="1"/>
    <row r="35" spans="1:4" ht="409.5" customHeight="1">
      <c r="A35" s="1309" t="s">
        <v>931</v>
      </c>
      <c r="B35" s="1309"/>
      <c r="C35" s="1309"/>
      <c r="D35" s="1309"/>
    </row>
  </sheetData>
  <sheetProtection password="CA99" sheet="1" objects="1" scenarios="1"/>
  <mergeCells count="6">
    <mergeCell ref="A5:D5"/>
    <mergeCell ref="A3:D3"/>
    <mergeCell ref="A1:D1"/>
    <mergeCell ref="A2:D2"/>
    <mergeCell ref="A4:D4"/>
    <mergeCell ref="A35:D35"/>
  </mergeCells>
  <printOptions/>
  <pageMargins left="0.25" right="0.33" top="0.78" bottom="0.43" header="0.5" footer="0.21"/>
  <pageSetup fitToHeight="0" horizontalDpi="600" verticalDpi="600" orientation="portrait" scale="68" r:id="rId1"/>
  <headerFooter alignWithMargins="0">
    <oddHeader>&amp;R
&amp;A&amp;"Arial,Bold"
&amp;"Arial,Regular"Page &amp;P of &amp;N</oddHeader>
  </headerFooter>
</worksheet>
</file>

<file path=xl/worksheets/sheet19.xml><?xml version="1.0" encoding="utf-8"?>
<worksheet xmlns="http://schemas.openxmlformats.org/spreadsheetml/2006/main" xmlns:r="http://schemas.openxmlformats.org/officeDocument/2006/relationships">
  <sheetPr transitionEvaluation="1">
    <tabColor rgb="FFCCFFFF"/>
    <pageSetUpPr fitToPage="1"/>
  </sheetPr>
  <dimension ref="B1:G34"/>
  <sheetViews>
    <sheetView defaultGridColor="0" view="pageBreakPreview" zoomScale="60" zoomScaleNormal="70" zoomScalePageLayoutView="0" colorId="22" workbookViewId="0" topLeftCell="A1">
      <selection activeCell="B35" sqref="B35"/>
    </sheetView>
  </sheetViews>
  <sheetFormatPr defaultColWidth="14.7109375" defaultRowHeight="12.75"/>
  <cols>
    <col min="1" max="1" width="16.28125" style="1067" customWidth="1"/>
    <col min="2" max="2" width="42.57421875" style="1067" customWidth="1"/>
    <col min="3" max="3" width="16.28125" style="1067" bestFit="1" customWidth="1"/>
    <col min="4" max="4" width="16.8515625" style="1067" customWidth="1"/>
    <col min="5" max="5" width="18.00390625" style="1067" customWidth="1"/>
    <col min="6" max="7" width="16.28125" style="1067" bestFit="1" customWidth="1"/>
    <col min="8" max="8" width="14.7109375" style="1067" customWidth="1"/>
    <col min="9" max="16384" width="14.7109375" style="1067" customWidth="1"/>
  </cols>
  <sheetData>
    <row r="1" spans="2:7" ht="19.5">
      <c r="B1" s="1314" t="str">
        <f>TCOS!$F$3</f>
        <v>AEPTCo subsidiaries in PJM</v>
      </c>
      <c r="C1" s="1314"/>
      <c r="D1" s="1314"/>
      <c r="E1" s="1314"/>
      <c r="F1" s="1066"/>
      <c r="G1" s="1066"/>
    </row>
    <row r="2" spans="2:7" ht="22.5">
      <c r="B2" s="1315" t="s">
        <v>303</v>
      </c>
      <c r="C2" s="1315"/>
      <c r="D2" s="1315"/>
      <c r="E2" s="1315"/>
      <c r="F2" s="1066"/>
      <c r="G2" s="1066"/>
    </row>
    <row r="3" spans="2:7" ht="22.5">
      <c r="B3" s="1315" t="s">
        <v>304</v>
      </c>
      <c r="C3" s="1315"/>
      <c r="D3" s="1315"/>
      <c r="E3" s="1315"/>
      <c r="F3" s="1066"/>
      <c r="G3" s="1066"/>
    </row>
    <row r="4" spans="2:7" ht="19.5">
      <c r="B4" s="1314" t="s">
        <v>305</v>
      </c>
      <c r="C4" s="1314"/>
      <c r="D4" s="1314"/>
      <c r="E4" s="1314"/>
      <c r="F4" s="1066"/>
      <c r="G4" s="1066"/>
    </row>
    <row r="5" spans="2:7" ht="19.5">
      <c r="B5" s="1316" t="s">
        <v>921</v>
      </c>
      <c r="C5" s="1316"/>
      <c r="D5" s="1316"/>
      <c r="E5" s="1316"/>
      <c r="F5" s="1066"/>
      <c r="G5" s="1066"/>
    </row>
    <row r="6" spans="2:7" ht="19.5">
      <c r="B6" s="1314"/>
      <c r="C6" s="1314"/>
      <c r="D6" s="1314"/>
      <c r="E6" s="1314"/>
      <c r="F6" s="1066"/>
      <c r="G6" s="1066"/>
    </row>
    <row r="7" spans="2:7" ht="19.5">
      <c r="B7" s="1317" t="str">
        <f>TCOS!F7</f>
        <v>AEP APPALACHIAN TRANSMISSION COMPANY</v>
      </c>
      <c r="C7" s="1225"/>
      <c r="D7" s="1225"/>
      <c r="E7" s="1225"/>
      <c r="F7" s="1066"/>
      <c r="G7" s="1066"/>
    </row>
    <row r="9" spans="2:4" ht="15">
      <c r="B9" s="1068"/>
      <c r="C9" s="1068"/>
      <c r="D9" s="1069"/>
    </row>
    <row r="10" spans="2:7" ht="24" customHeight="1">
      <c r="B10" s="1068"/>
      <c r="C10" s="1070" t="s">
        <v>900</v>
      </c>
      <c r="D10" s="1070" t="s">
        <v>901</v>
      </c>
      <c r="F10" s="1071"/>
      <c r="G10" s="1071"/>
    </row>
    <row r="11" spans="2:4" ht="15" customHeight="1" thickBot="1">
      <c r="B11" s="1069"/>
      <c r="C11" s="1070" t="s">
        <v>902</v>
      </c>
      <c r="D11" s="1072" t="s">
        <v>431</v>
      </c>
    </row>
    <row r="12" spans="2:4" ht="15">
      <c r="B12" s="1073" t="s">
        <v>903</v>
      </c>
      <c r="C12" s="1074"/>
      <c r="D12" s="314"/>
    </row>
    <row r="13" spans="2:4" ht="15">
      <c r="B13" s="1075"/>
      <c r="C13" s="1076"/>
      <c r="D13" s="315"/>
    </row>
    <row r="14" spans="2:4" ht="15">
      <c r="B14" s="1077" t="s">
        <v>904</v>
      </c>
      <c r="C14" s="316">
        <v>350.1</v>
      </c>
      <c r="D14" s="1093"/>
    </row>
    <row r="15" spans="2:5" ht="15">
      <c r="B15" s="1078" t="s">
        <v>905</v>
      </c>
      <c r="C15" s="316">
        <v>352</v>
      </c>
      <c r="D15" s="1169">
        <v>0.0152</v>
      </c>
      <c r="E15" s="317"/>
    </row>
    <row r="16" spans="2:4" ht="15">
      <c r="B16" s="1078" t="s">
        <v>906</v>
      </c>
      <c r="C16" s="316">
        <v>353</v>
      </c>
      <c r="D16" s="1169">
        <v>0.0168</v>
      </c>
    </row>
    <row r="17" spans="2:4" ht="15">
      <c r="B17" s="1078" t="s">
        <v>907</v>
      </c>
      <c r="C17" s="316">
        <v>354</v>
      </c>
      <c r="D17" s="1169">
        <v>0.0154</v>
      </c>
    </row>
    <row r="18" spans="2:5" ht="15">
      <c r="B18" s="1078" t="s">
        <v>908</v>
      </c>
      <c r="C18" s="316">
        <v>355</v>
      </c>
      <c r="D18" s="1169">
        <v>0.0264</v>
      </c>
      <c r="E18" s="317"/>
    </row>
    <row r="19" spans="2:5" ht="15">
      <c r="B19" s="1078" t="s">
        <v>909</v>
      </c>
      <c r="C19" s="316">
        <v>356</v>
      </c>
      <c r="D19" s="1169">
        <v>0.0119</v>
      </c>
      <c r="E19" s="1079"/>
    </row>
    <row r="20" spans="2:4" ht="15">
      <c r="B20" s="1078" t="s">
        <v>910</v>
      </c>
      <c r="C20" s="316">
        <v>357</v>
      </c>
      <c r="D20" s="1169">
        <v>0.0145</v>
      </c>
    </row>
    <row r="21" spans="2:4" ht="15">
      <c r="B21" s="1078" t="s">
        <v>911</v>
      </c>
      <c r="C21" s="316">
        <v>358</v>
      </c>
      <c r="D21" s="1169">
        <v>0.0723</v>
      </c>
    </row>
    <row r="23" spans="2:5" ht="63.75" customHeight="1">
      <c r="B23" s="1310" t="s">
        <v>912</v>
      </c>
      <c r="C23" s="1311"/>
      <c r="D23" s="1311"/>
      <c r="E23" s="1311"/>
    </row>
    <row r="24" spans="2:5" ht="15">
      <c r="B24" s="1080"/>
      <c r="C24" s="1081"/>
      <c r="D24" s="1081"/>
      <c r="E24" s="1081"/>
    </row>
    <row r="25" spans="2:5" ht="15.75">
      <c r="B25" s="1082" t="s">
        <v>115</v>
      </c>
      <c r="C25" s="1083" t="s">
        <v>913</v>
      </c>
      <c r="D25" s="1083" t="s">
        <v>914</v>
      </c>
      <c r="E25" s="1084" t="s">
        <v>915</v>
      </c>
    </row>
    <row r="26" spans="2:5" ht="15">
      <c r="B26" s="1085" t="s">
        <v>916</v>
      </c>
      <c r="C26" s="1086">
        <v>1811822367</v>
      </c>
      <c r="D26" s="1086">
        <v>17532350</v>
      </c>
      <c r="E26" s="1087">
        <f>C26+D26</f>
        <v>1829354717</v>
      </c>
    </row>
    <row r="27" spans="2:5" ht="15">
      <c r="B27" s="1085" t="s">
        <v>917</v>
      </c>
      <c r="C27" s="1086">
        <v>1752450105</v>
      </c>
      <c r="D27" s="1086">
        <v>17421868</v>
      </c>
      <c r="E27" s="1087">
        <f>C27+D27</f>
        <v>1769871973</v>
      </c>
    </row>
    <row r="28" spans="2:5" ht="15">
      <c r="B28" s="1085" t="s">
        <v>918</v>
      </c>
      <c r="C28" s="1086">
        <f>AVERAGE(C26:C27)</f>
        <v>1782136236</v>
      </c>
      <c r="D28" s="1086">
        <f>AVERAGE(D26:D27)</f>
        <v>17477109</v>
      </c>
      <c r="E28" s="1087">
        <f>C28+D28</f>
        <v>1799613345</v>
      </c>
    </row>
    <row r="29" spans="2:5" ht="15">
      <c r="B29" s="1088" t="s">
        <v>919</v>
      </c>
      <c r="C29" s="1086">
        <v>29597240</v>
      </c>
      <c r="D29" s="1086">
        <v>438315</v>
      </c>
      <c r="E29" s="1087">
        <f>C29+D29</f>
        <v>30035555</v>
      </c>
    </row>
    <row r="30" spans="2:5" ht="15.75">
      <c r="B30" s="1089" t="s">
        <v>920</v>
      </c>
      <c r="C30" s="1090" t="s">
        <v>637</v>
      </c>
      <c r="D30" s="1090" t="s">
        <v>637</v>
      </c>
      <c r="E30" s="1091">
        <f>E29/E28</f>
        <v>0.016690004596515148</v>
      </c>
    </row>
    <row r="31" spans="2:5" ht="15">
      <c r="B31" s="1092"/>
      <c r="C31" s="1078"/>
      <c r="D31" s="1092"/>
      <c r="E31" s="1092"/>
    </row>
    <row r="32" spans="2:5" ht="15">
      <c r="B32" s="1312" t="s">
        <v>959</v>
      </c>
      <c r="C32" s="1313"/>
      <c r="D32" s="1313"/>
      <c r="E32" s="1313"/>
    </row>
    <row r="33" spans="2:5" ht="15">
      <c r="B33" s="1313"/>
      <c r="C33" s="1313"/>
      <c r="D33" s="1313"/>
      <c r="E33" s="1313"/>
    </row>
    <row r="34" spans="2:5" ht="75" customHeight="1">
      <c r="B34" s="1313"/>
      <c r="C34" s="1313"/>
      <c r="D34" s="1313"/>
      <c r="E34" s="1313"/>
    </row>
  </sheetData>
  <sheetProtection password="CA99" sheet="1" objects="1" scenarios="1"/>
  <mergeCells count="9">
    <mergeCell ref="B23:E23"/>
    <mergeCell ref="B32:E34"/>
    <mergeCell ref="B1:E1"/>
    <mergeCell ref="B2:E2"/>
    <mergeCell ref="B3:E3"/>
    <mergeCell ref="B4:E4"/>
    <mergeCell ref="B5:E5"/>
    <mergeCell ref="B6:E6"/>
    <mergeCell ref="B7:E7"/>
  </mergeCells>
  <conditionalFormatting sqref="F11:G65536 B35:E65536 F2:G7 H1:IV8 B1:B7 C2:E6 B9:IV9 H10:IV65536">
    <cfRule type="cellIs" priority="2" dxfId="0" operator="lessThan" stopIfTrue="1">
      <formula>0</formula>
    </cfRule>
  </conditionalFormatting>
  <conditionalFormatting sqref="B10:C20 D31 B23:B29 B21:D21 B31:B32 D10 E10:E22 D12:D20 C25:E30">
    <cfRule type="cellIs" priority="1" dxfId="0" operator="lessThan" stopIfTrue="1">
      <formula>0</formula>
    </cfRule>
  </conditionalFormatting>
  <printOptions/>
  <pageMargins left="0.55" right="0.55" top="1.25" bottom="0.75" header="0.75" footer="0.27"/>
  <pageSetup fitToHeight="1" fitToWidth="1" horizontalDpi="600" verticalDpi="600" orientation="portrait" scale="76" r:id="rId1"/>
  <headerFooter alignWithMargins="0">
    <oddHeader>&amp;RFormula Rate 
&amp;A
Page &amp;P of &amp;N</oddHeader>
  </headerFooter>
</worksheet>
</file>

<file path=xl/worksheets/sheet2.xml><?xml version="1.0" encoding="utf-8"?>
<worksheet xmlns="http://schemas.openxmlformats.org/spreadsheetml/2006/main" xmlns:r="http://schemas.openxmlformats.org/officeDocument/2006/relationships">
  <sheetPr>
    <tabColor rgb="FFCCFFFF"/>
  </sheetPr>
  <dimension ref="A1:X1261"/>
  <sheetViews>
    <sheetView zoomScale="60" zoomScaleNormal="60" zoomScalePageLayoutView="0" workbookViewId="0" topLeftCell="B358">
      <selection activeCell="L229" sqref="L229"/>
    </sheetView>
  </sheetViews>
  <sheetFormatPr defaultColWidth="11.421875" defaultRowHeight="12.75"/>
  <cols>
    <col min="1" max="1" width="4.7109375" style="13" customWidth="1"/>
    <col min="2" max="2" width="7.8515625" style="1" customWidth="1"/>
    <col min="3" max="3" width="1.8515625" style="13" customWidth="1"/>
    <col min="4" max="4" width="56.00390625" style="13" customWidth="1"/>
    <col min="5" max="5" width="51.57421875" style="13" customWidth="1"/>
    <col min="6" max="6" width="17.57421875" style="13" customWidth="1"/>
    <col min="7" max="7" width="20.7109375" style="13" customWidth="1"/>
    <col min="8" max="8" width="20.00390625" style="13" customWidth="1"/>
    <col min="9" max="9" width="9.57421875" style="13" customWidth="1"/>
    <col min="10" max="10" width="14.140625" style="13" customWidth="1"/>
    <col min="11" max="11" width="11.140625" style="13" customWidth="1"/>
    <col min="12" max="12" width="21.140625" style="13" customWidth="1"/>
    <col min="13" max="13" width="17.00390625" style="13" customWidth="1"/>
    <col min="14" max="14" width="17.57421875" style="13" customWidth="1"/>
    <col min="15" max="15" width="11.140625" style="13" customWidth="1"/>
    <col min="16" max="16" width="21.8515625" style="13" customWidth="1"/>
    <col min="17" max="17" width="11.421875" style="13" customWidth="1"/>
    <col min="18" max="18" width="20.57421875" style="13" bestFit="1" customWidth="1"/>
    <col min="19" max="16384" width="11.421875" style="13" customWidth="1"/>
  </cols>
  <sheetData>
    <row r="1" spans="1:16" ht="15.75">
      <c r="A1" s="318"/>
      <c r="B1" s="342"/>
      <c r="C1" s="318"/>
      <c r="D1" s="343"/>
      <c r="E1" s="344"/>
      <c r="F1" s="344"/>
      <c r="G1" s="345"/>
      <c r="H1" s="318"/>
      <c r="I1" s="346"/>
      <c r="J1" s="346"/>
      <c r="K1" s="346"/>
      <c r="L1" s="376"/>
      <c r="M1" s="11"/>
      <c r="N1" s="13" t="s">
        <v>637</v>
      </c>
      <c r="O1" s="311" t="s">
        <v>637</v>
      </c>
      <c r="P1" s="13" t="s">
        <v>637</v>
      </c>
    </row>
    <row r="2" spans="1:13" ht="15">
      <c r="A2" s="318"/>
      <c r="B2" s="342"/>
      <c r="C2" s="318"/>
      <c r="D2" s="318"/>
      <c r="E2" s="318"/>
      <c r="F2" s="318"/>
      <c r="G2" s="318"/>
      <c r="H2" s="318"/>
      <c r="I2" s="318" t="s">
        <v>837</v>
      </c>
      <c r="J2" s="318"/>
      <c r="K2" s="318"/>
      <c r="L2" s="1168">
        <v>2017</v>
      </c>
      <c r="M2" s="34" t="s">
        <v>945</v>
      </c>
    </row>
    <row r="3" spans="1:15" ht="15">
      <c r="A3" s="318"/>
      <c r="B3" s="342"/>
      <c r="C3" s="318"/>
      <c r="D3" s="340"/>
      <c r="E3" s="340"/>
      <c r="F3" s="347" t="s">
        <v>493</v>
      </c>
      <c r="G3" s="348"/>
      <c r="H3" s="348"/>
      <c r="I3" s="318"/>
      <c r="J3" s="340"/>
      <c r="K3" s="323"/>
      <c r="L3" s="323"/>
      <c r="M3" s="34" t="s">
        <v>637</v>
      </c>
      <c r="O3" s="245"/>
    </row>
    <row r="4" spans="1:13" ht="15">
      <c r="A4" s="318"/>
      <c r="B4" s="342"/>
      <c r="C4" s="318"/>
      <c r="D4" s="340"/>
      <c r="E4" s="349"/>
      <c r="F4" s="347" t="s">
        <v>280</v>
      </c>
      <c r="G4" s="348"/>
      <c r="H4" s="348"/>
      <c r="I4" s="318"/>
      <c r="J4" s="349"/>
      <c r="K4" s="323"/>
      <c r="L4" s="323"/>
      <c r="M4" s="34"/>
    </row>
    <row r="5" spans="1:13" ht="15">
      <c r="A5" s="318"/>
      <c r="B5" s="342"/>
      <c r="C5" s="318"/>
      <c r="D5" s="323"/>
      <c r="E5" s="323"/>
      <c r="F5" s="350" t="str">
        <f>"Utilizing  Actual/Projected FERC Form 1 Data"</f>
        <v>Utilizing  Actual/Projected FERC Form 1 Data</v>
      </c>
      <c r="G5" s="348"/>
      <c r="H5" s="348"/>
      <c r="I5" s="318"/>
      <c r="J5" s="323"/>
      <c r="K5" s="323"/>
      <c r="L5" s="323"/>
      <c r="M5" s="34"/>
    </row>
    <row r="6" spans="1:13" ht="15">
      <c r="A6" s="318"/>
      <c r="B6" s="320"/>
      <c r="C6" s="337"/>
      <c r="D6" s="323"/>
      <c r="E6" s="318"/>
      <c r="F6" s="318"/>
      <c r="G6" s="318"/>
      <c r="H6" s="351"/>
      <c r="I6" s="351"/>
      <c r="J6" s="351"/>
      <c r="K6" s="351"/>
      <c r="L6" s="323"/>
      <c r="M6" s="15"/>
    </row>
    <row r="7" spans="1:13" ht="15.75">
      <c r="A7" s="318"/>
      <c r="B7" s="320"/>
      <c r="C7" s="337"/>
      <c r="D7" s="352"/>
      <c r="E7" s="323"/>
      <c r="F7" s="353" t="s">
        <v>888</v>
      </c>
      <c r="G7" s="354"/>
      <c r="H7" s="323"/>
      <c r="I7" s="323"/>
      <c r="J7" s="323"/>
      <c r="K7" s="323"/>
      <c r="L7" s="352"/>
      <c r="M7" s="15"/>
    </row>
    <row r="8" spans="1:13" ht="15">
      <c r="A8" s="318"/>
      <c r="B8" s="320"/>
      <c r="C8" s="337"/>
      <c r="D8" s="323"/>
      <c r="E8" s="323"/>
      <c r="F8" s="355"/>
      <c r="G8" s="354"/>
      <c r="H8" s="323"/>
      <c r="I8" s="323"/>
      <c r="J8" s="323"/>
      <c r="K8" s="323"/>
      <c r="L8" s="352"/>
      <c r="M8" s="15"/>
    </row>
    <row r="9" spans="1:13" ht="15">
      <c r="A9" s="318"/>
      <c r="B9" s="320" t="s">
        <v>690</v>
      </c>
      <c r="C9" s="337"/>
      <c r="D9" s="323"/>
      <c r="E9" s="323"/>
      <c r="F9" s="323"/>
      <c r="G9" s="354"/>
      <c r="H9" s="323"/>
      <c r="I9" s="323"/>
      <c r="J9" s="323"/>
      <c r="K9" s="323"/>
      <c r="L9" s="337" t="s">
        <v>638</v>
      </c>
      <c r="M9" s="15"/>
    </row>
    <row r="10" spans="1:13" ht="15.75" thickBot="1">
      <c r="A10" s="318"/>
      <c r="B10" s="356" t="s">
        <v>640</v>
      </c>
      <c r="C10" s="357"/>
      <c r="D10" s="323"/>
      <c r="E10" s="357"/>
      <c r="F10" s="323"/>
      <c r="G10" s="323"/>
      <c r="H10" s="323"/>
      <c r="I10" s="323"/>
      <c r="J10" s="323"/>
      <c r="K10" s="323"/>
      <c r="L10" s="359" t="s">
        <v>691</v>
      </c>
      <c r="M10" s="15"/>
    </row>
    <row r="11" spans="1:13" ht="15">
      <c r="A11" s="318"/>
      <c r="B11" s="320">
        <v>1</v>
      </c>
      <c r="C11" s="337"/>
      <c r="D11" s="321" t="s">
        <v>634</v>
      </c>
      <c r="E11" s="322" t="str">
        <f>"(ln "&amp;B216&amp;")"</f>
        <v>(ln 141)</v>
      </c>
      <c r="F11" s="322"/>
      <c r="G11" s="358"/>
      <c r="H11" s="324"/>
      <c r="I11" s="323"/>
      <c r="J11" s="323"/>
      <c r="K11" s="323"/>
      <c r="L11" s="365">
        <f>+L216</f>
        <v>98422.5131624638</v>
      </c>
      <c r="M11" s="15"/>
    </row>
    <row r="12" spans="1:13" ht="15.75" thickBot="1">
      <c r="A12" s="318"/>
      <c r="B12" s="320"/>
      <c r="C12" s="337"/>
      <c r="D12" s="318"/>
      <c r="E12" s="328"/>
      <c r="F12" s="329"/>
      <c r="G12" s="359" t="s">
        <v>641</v>
      </c>
      <c r="H12" s="349"/>
      <c r="I12" s="360" t="s">
        <v>642</v>
      </c>
      <c r="J12" s="360"/>
      <c r="K12" s="323"/>
      <c r="L12" s="358"/>
      <c r="M12" s="15"/>
    </row>
    <row r="13" spans="1:13" ht="15">
      <c r="A13" s="318"/>
      <c r="B13" s="320">
        <f>+B11+1</f>
        <v>2</v>
      </c>
      <c r="C13" s="337"/>
      <c r="D13" s="361" t="s">
        <v>689</v>
      </c>
      <c r="E13" s="328" t="str">
        <f>"(Worksheet E,  ln  "&amp;'WS E Rev Credits'!A25&amp;") (Note A) "</f>
        <v>(Worksheet E,  ln  8) (Note A) </v>
      </c>
      <c r="F13" s="329"/>
      <c r="G13" s="362">
        <f>+'WS E Rev Credits'!K25</f>
        <v>0</v>
      </c>
      <c r="H13" s="329"/>
      <c r="I13" s="330" t="s">
        <v>651</v>
      </c>
      <c r="J13" s="331">
        <v>1</v>
      </c>
      <c r="K13" s="349"/>
      <c r="L13" s="366">
        <f>+J13*G13</f>
        <v>0</v>
      </c>
      <c r="M13" s="15"/>
    </row>
    <row r="14" spans="1:13" ht="15">
      <c r="A14" s="318"/>
      <c r="B14" s="320"/>
      <c r="C14" s="337"/>
      <c r="D14" s="361"/>
      <c r="E14" s="328"/>
      <c r="F14" s="329"/>
      <c r="G14" s="362"/>
      <c r="H14" s="329"/>
      <c r="I14" s="330"/>
      <c r="J14" s="331"/>
      <c r="K14" s="349"/>
      <c r="L14" s="366"/>
      <c r="M14" s="15"/>
    </row>
    <row r="15" spans="1:13" ht="15">
      <c r="A15" s="318"/>
      <c r="B15" s="334">
        <f>+B13+1</f>
        <v>3</v>
      </c>
      <c r="C15" s="337"/>
      <c r="D15" s="361" t="s">
        <v>838</v>
      </c>
      <c r="E15" s="318" t="str">
        <f>"(Worksheet E, ln "&amp;'WS E Rev Credits'!A27&amp;") (Note X) "</f>
        <v>(Worksheet E, ln 9) (Note X) </v>
      </c>
      <c r="F15" s="349"/>
      <c r="G15" s="318"/>
      <c r="H15" s="318"/>
      <c r="I15" s="318"/>
      <c r="J15" s="318"/>
      <c r="K15" s="318"/>
      <c r="L15" s="367">
        <f>'WS E Rev Credits'!K27</f>
        <v>0</v>
      </c>
      <c r="M15" s="15"/>
    </row>
    <row r="16" spans="1:13" ht="30.75" thickBot="1">
      <c r="A16" s="318"/>
      <c r="B16" s="334">
        <f>+B15+1</f>
        <v>4</v>
      </c>
      <c r="C16" s="326"/>
      <c r="D16" s="363" t="s">
        <v>345</v>
      </c>
      <c r="E16" s="332" t="str">
        <f>"(ln "&amp;B11&amp;"  less ln "&amp;B13&amp;" plus ln 3)"</f>
        <v>(ln 1  less ln 2 plus ln 3)</v>
      </c>
      <c r="F16" s="323"/>
      <c r="G16" s="318"/>
      <c r="H16" s="349"/>
      <c r="I16" s="364"/>
      <c r="J16" s="349"/>
      <c r="K16" s="349"/>
      <c r="L16" s="368">
        <f>+L11-L13+L15</f>
        <v>98422.5131624638</v>
      </c>
      <c r="M16" s="15"/>
    </row>
    <row r="17" spans="1:13" ht="15.75" thickTop="1">
      <c r="A17" s="318"/>
      <c r="B17" s="334"/>
      <c r="C17" s="326"/>
      <c r="D17" s="361"/>
      <c r="E17" s="332"/>
      <c r="F17" s="323"/>
      <c r="G17" s="318"/>
      <c r="H17" s="349"/>
      <c r="I17" s="364"/>
      <c r="J17" s="349"/>
      <c r="K17" s="349"/>
      <c r="L17" s="369"/>
      <c r="M17" s="15"/>
    </row>
    <row r="18" spans="1:13" ht="15">
      <c r="A18" s="318"/>
      <c r="B18" s="334"/>
      <c r="C18" s="326"/>
      <c r="D18" s="361"/>
      <c r="E18" s="332"/>
      <c r="F18" s="323"/>
      <c r="G18" s="318"/>
      <c r="H18" s="349"/>
      <c r="I18" s="364"/>
      <c r="J18" s="349"/>
      <c r="K18" s="349"/>
      <c r="L18" s="369"/>
      <c r="M18" s="15"/>
    </row>
    <row r="19" spans="1:12" ht="15" customHeight="1">
      <c r="A19" s="318"/>
      <c r="B19" s="1220" t="str">
        <f>"MEMO:  The Carrying Charge Calculations on lines "&amp;B25&amp;" to "&amp;B32&amp;" below are used in calculating project revenue requirements billed through PJM Schedule 12, Transmission Enhancement Charges.  The total non-incentive revenue requirements for these projects shown on line "&amp;B22&amp;" is included in the total on line "&amp;B16&amp;"."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19" s="1220"/>
      <c r="D19" s="1220"/>
      <c r="E19" s="1220"/>
      <c r="F19" s="1220"/>
      <c r="G19" s="1220"/>
      <c r="H19" s="1220"/>
      <c r="I19" s="1220"/>
      <c r="J19" s="318"/>
      <c r="K19" s="318"/>
      <c r="L19" s="318"/>
    </row>
    <row r="20" spans="1:12" ht="35.25" customHeight="1">
      <c r="A20" s="318"/>
      <c r="B20" s="1220"/>
      <c r="C20" s="1220"/>
      <c r="D20" s="1220"/>
      <c r="E20" s="1220"/>
      <c r="F20" s="1220"/>
      <c r="G20" s="1220"/>
      <c r="H20" s="1220"/>
      <c r="I20" s="1220"/>
      <c r="J20" s="318"/>
      <c r="K20" s="318"/>
      <c r="L20" s="318"/>
    </row>
    <row r="21" spans="1:12" ht="15" customHeight="1">
      <c r="A21" s="318"/>
      <c r="B21" s="325"/>
      <c r="C21" s="325"/>
      <c r="D21" s="325"/>
      <c r="E21" s="325"/>
      <c r="F21" s="325"/>
      <c r="G21" s="568"/>
      <c r="H21" s="325"/>
      <c r="I21" s="325"/>
      <c r="J21" s="318"/>
      <c r="K21" s="318"/>
      <c r="L21" s="318"/>
    </row>
    <row r="22" spans="1:13" ht="15">
      <c r="A22" s="318"/>
      <c r="B22" s="320">
        <f>+B16+1</f>
        <v>5</v>
      </c>
      <c r="C22" s="326"/>
      <c r="D22" s="327" t="s">
        <v>839</v>
      </c>
      <c r="E22" s="328"/>
      <c r="F22" s="329"/>
      <c r="G22" s="374">
        <f>+'WS J PROJECTED RTEP RR'!M24</f>
        <v>0</v>
      </c>
      <c r="H22" s="329"/>
      <c r="I22" s="330" t="s">
        <v>651</v>
      </c>
      <c r="J22" s="331">
        <v>1</v>
      </c>
      <c r="K22" s="322"/>
      <c r="L22" s="370">
        <f>+J22*G22</f>
        <v>0</v>
      </c>
      <c r="M22" s="15"/>
    </row>
    <row r="23" spans="1:13" ht="15">
      <c r="A23" s="318"/>
      <c r="B23" s="320"/>
      <c r="C23" s="326"/>
      <c r="D23" s="327"/>
      <c r="E23" s="332"/>
      <c r="F23" s="329"/>
      <c r="G23" s="333"/>
      <c r="H23" s="329"/>
      <c r="I23" s="329"/>
      <c r="J23" s="331"/>
      <c r="K23" s="322"/>
      <c r="L23" s="370"/>
      <c r="M23" s="15"/>
    </row>
    <row r="24" spans="1:13" ht="15">
      <c r="A24" s="318"/>
      <c r="B24" s="334">
        <f>+B22+1</f>
        <v>6</v>
      </c>
      <c r="C24" s="326"/>
      <c r="D24" s="327" t="s">
        <v>232</v>
      </c>
      <c r="E24" s="328"/>
      <c r="F24" s="323"/>
      <c r="G24" s="335"/>
      <c r="H24" s="323"/>
      <c r="I24" s="318"/>
      <c r="J24" s="323"/>
      <c r="K24" s="323"/>
      <c r="L24" s="318"/>
      <c r="M24" s="15"/>
    </row>
    <row r="25" spans="1:13" ht="15">
      <c r="A25" s="318"/>
      <c r="B25" s="320">
        <f>B24+1</f>
        <v>7</v>
      </c>
      <c r="C25" s="326"/>
      <c r="D25" s="336" t="s">
        <v>92</v>
      </c>
      <c r="E25" s="322" t="str">
        <f>"( (ln "&amp;B11&amp;" -  ln "&amp;B171&amp;")/((ln "&amp;$B$93&amp;" + ln "&amp;$B$94&amp;" + ln "&amp;$B$95&amp;" + ln "&amp;$B$96&amp;" + ln "&amp;$B$98&amp;") x 100) )"</f>
        <v>( (ln 1 -  ln 104)/((ln 49 + ln 50 + ln 51 + ln 52 + ln 54) x 100) )</v>
      </c>
      <c r="F25" s="337"/>
      <c r="G25" s="337"/>
      <c r="H25" s="337"/>
      <c r="I25" s="338"/>
      <c r="J25" s="338"/>
      <c r="K25" s="338"/>
      <c r="L25" s="371">
        <f>IF((SUM(SUM($L$93:$L$96),$L$98))=0,0,(L11-L170-L171)/(SUM(SUM($L$93:$L$96),$L$98)))</f>
        <v>4.260991543280464</v>
      </c>
      <c r="M25" s="15"/>
    </row>
    <row r="26" spans="1:13" ht="15">
      <c r="A26" s="318"/>
      <c r="B26" s="320">
        <f>B25+1</f>
        <v>8</v>
      </c>
      <c r="C26" s="326"/>
      <c r="D26" s="336" t="s">
        <v>93</v>
      </c>
      <c r="E26" s="322" t="str">
        <f>"(ln "&amp;B25&amp;" / 12)"</f>
        <v>(ln 7 / 12)</v>
      </c>
      <c r="F26" s="337"/>
      <c r="G26" s="337"/>
      <c r="H26" s="337"/>
      <c r="I26" s="338"/>
      <c r="J26" s="338"/>
      <c r="K26" s="338"/>
      <c r="L26" s="372">
        <f>L25/12</f>
        <v>0.3550826286067053</v>
      </c>
      <c r="M26" s="15"/>
    </row>
    <row r="27" spans="1:13" ht="15">
      <c r="A27" s="318"/>
      <c r="B27" s="320"/>
      <c r="C27" s="326"/>
      <c r="D27" s="336"/>
      <c r="E27" s="322"/>
      <c r="F27" s="337"/>
      <c r="G27" s="337"/>
      <c r="H27" s="337"/>
      <c r="I27" s="338"/>
      <c r="J27" s="338"/>
      <c r="K27" s="338"/>
      <c r="L27" s="372"/>
      <c r="M27" s="15"/>
    </row>
    <row r="28" spans="1:13" ht="15">
      <c r="A28" s="318"/>
      <c r="B28" s="320">
        <f>B26+1</f>
        <v>9</v>
      </c>
      <c r="C28" s="326"/>
      <c r="D28" s="327" t="str">
        <f>"NET PLANT CARRYING CHARGE ON LINE "&amp;B25&amp;" , w/o depreciation or ROE incentives (Note B)"</f>
        <v>NET PLANT CARRYING CHARGE ON LINE 7 , w/o depreciation or ROE incentives (Note B)</v>
      </c>
      <c r="E28" s="322"/>
      <c r="F28" s="337"/>
      <c r="G28" s="337"/>
      <c r="H28" s="337"/>
      <c r="I28" s="338"/>
      <c r="J28" s="338"/>
      <c r="K28" s="338"/>
      <c r="L28" s="372"/>
      <c r="M28" s="15"/>
    </row>
    <row r="29" spans="1:13" ht="15">
      <c r="A29" s="318"/>
      <c r="B29" s="320">
        <f>B28+1</f>
        <v>10</v>
      </c>
      <c r="C29" s="326"/>
      <c r="D29" s="336" t="s">
        <v>92</v>
      </c>
      <c r="E29" s="322" t="str">
        <f>"( (ln "&amp;B11&amp;" - ln "&amp;B171&amp;" - ln "&amp;B177&amp;")/((ln "&amp;$B$93&amp;" + ln "&amp;$B$94&amp;" + ln "&amp;$B$95&amp;" + ln "&amp;$B$96&amp;" + ln "&amp;$B$98&amp;") x 100) )"</f>
        <v>( (ln 1 - ln 104 - ln 109)/((ln 49 + ln 50 + ln 51 + ln 52 + ln 54) x 100) )</v>
      </c>
      <c r="F29" s="337"/>
      <c r="G29" s="337"/>
      <c r="H29" s="337"/>
      <c r="I29" s="338"/>
      <c r="J29" s="338"/>
      <c r="K29" s="338"/>
      <c r="L29" s="371">
        <f>IF((SUM(SUM($L$93:$L$96),$L$98))=0,0,(L11-L170-L171-L177)/(SUM(SUM($L$93:$L$96),$L$98)))</f>
        <v>4.242202444421231</v>
      </c>
      <c r="M29" s="15"/>
    </row>
    <row r="30" spans="1:13" ht="15">
      <c r="A30" s="318"/>
      <c r="B30" s="320"/>
      <c r="C30" s="326"/>
      <c r="D30" s="336"/>
      <c r="E30" s="322"/>
      <c r="F30" s="337"/>
      <c r="G30" s="337"/>
      <c r="H30" s="337"/>
      <c r="I30" s="338"/>
      <c r="J30" s="338"/>
      <c r="K30" s="338"/>
      <c r="L30" s="372"/>
      <c r="M30" s="15"/>
    </row>
    <row r="31" spans="1:13" ht="15">
      <c r="A31" s="318"/>
      <c r="B31" s="320">
        <f>B29+1</f>
        <v>11</v>
      </c>
      <c r="C31" s="326"/>
      <c r="D31" s="327" t="str">
        <f>"NET PLANT CARRYING CHARGE ON LINE "&amp;B29&amp;", w/o Return, income taxes or ROE incentives (Note B)"</f>
        <v>NET PLANT CARRYING CHARGE ON LINE 10, w/o Return, income taxes or ROE incentives (Note B)</v>
      </c>
      <c r="E31" s="322"/>
      <c r="F31" s="339"/>
      <c r="G31" s="339"/>
      <c r="H31" s="339"/>
      <c r="I31" s="339"/>
      <c r="J31" s="339"/>
      <c r="K31" s="339"/>
      <c r="L31" s="339"/>
      <c r="M31"/>
    </row>
    <row r="32" spans="1:13" ht="15">
      <c r="A32" s="318"/>
      <c r="B32" s="320">
        <f>B31+1</f>
        <v>12</v>
      </c>
      <c r="C32" s="326"/>
      <c r="D32" s="340" t="s">
        <v>92</v>
      </c>
      <c r="E32" s="322" t="str">
        <f>"( (ln "&amp;B11&amp;" - ln "&amp;B171&amp;" - ln "&amp;B177&amp;" - ln "&amp;B178&amp;" - ln "&amp;B206&amp;" - ln "&amp;B208&amp;") /((ln "&amp;$B$93&amp;" + ln "&amp;$B$94&amp;" + ln "&amp;$B$95&amp;" + ln "&amp;$B$96&amp;" + ln "&amp;$B$98&amp;") x 100) )"</f>
        <v>( (ln 1 - ln 104 - ln 109 - ln 110 - ln 136 - ln 137) /((ln 49 + ln 50 + ln 51 + ln 52 + ln 54) x 100) )</v>
      </c>
      <c r="F32" s="339"/>
      <c r="G32" s="339"/>
      <c r="H32" s="339"/>
      <c r="I32" s="339"/>
      <c r="J32" s="339"/>
      <c r="K32" s="339"/>
      <c r="L32" s="373">
        <f>IF((SUM(SUM($L$93:$L$96),$L$98))=0,0,(L11-L170-L171-L177-L178-L206-L208)/(SUM(SUM($L$93:$L$96),$L$98)))</f>
        <v>3.934761291710026</v>
      </c>
      <c r="M32"/>
    </row>
    <row r="33" spans="1:13" ht="15">
      <c r="A33" s="318"/>
      <c r="B33" s="320"/>
      <c r="C33" s="326"/>
      <c r="D33" s="340"/>
      <c r="E33" s="322"/>
      <c r="F33" s="337"/>
      <c r="G33" s="337"/>
      <c r="H33" s="337"/>
      <c r="I33" s="338"/>
      <c r="J33" s="338"/>
      <c r="K33" s="338"/>
      <c r="L33" s="371"/>
      <c r="M33" s="190"/>
    </row>
    <row r="34" spans="1:13" ht="15">
      <c r="A34" s="318"/>
      <c r="B34" s="320">
        <f>B32+1</f>
        <v>13</v>
      </c>
      <c r="C34" s="337"/>
      <c r="D34" s="341" t="s">
        <v>840</v>
      </c>
      <c r="E34" s="322"/>
      <c r="F34" s="337"/>
      <c r="G34" s="337"/>
      <c r="H34" s="337"/>
      <c r="I34" s="338"/>
      <c r="J34" s="338"/>
      <c r="K34" s="338"/>
      <c r="L34" s="374">
        <f>+'WS J PROJECTED RTEP RR'!O24</f>
        <v>0</v>
      </c>
      <c r="M34" s="15"/>
    </row>
    <row r="35" spans="1:13" ht="15">
      <c r="A35" s="318"/>
      <c r="B35" s="320"/>
      <c r="C35" s="337"/>
      <c r="D35" s="318"/>
      <c r="E35" s="322"/>
      <c r="F35" s="337"/>
      <c r="G35" s="337"/>
      <c r="H35" s="337"/>
      <c r="I35" s="338"/>
      <c r="J35" s="338"/>
      <c r="K35" s="338"/>
      <c r="L35" s="371"/>
      <c r="M35" s="15"/>
    </row>
    <row r="36" spans="1:13" ht="15">
      <c r="A36" s="318"/>
      <c r="B36" s="318"/>
      <c r="C36" s="337"/>
      <c r="D36" s="318"/>
      <c r="E36" s="322"/>
      <c r="F36" s="337"/>
      <c r="G36" s="337"/>
      <c r="H36" s="337"/>
      <c r="I36" s="338"/>
      <c r="J36" s="338"/>
      <c r="K36" s="338"/>
      <c r="L36" s="371"/>
      <c r="M36" s="15"/>
    </row>
    <row r="37" spans="1:13" ht="15.75">
      <c r="A37" s="318"/>
      <c r="B37" s="320">
        <f>+B34+1</f>
        <v>14</v>
      </c>
      <c r="C37" s="337"/>
      <c r="D37" s="1226" t="s">
        <v>293</v>
      </c>
      <c r="E37" s="1226"/>
      <c r="F37" s="1226"/>
      <c r="G37" s="1226"/>
      <c r="H37" s="1226"/>
      <c r="I37" s="1226"/>
      <c r="J37" s="1226"/>
      <c r="K37" s="1226"/>
      <c r="L37" s="1226"/>
      <c r="M37" s="15"/>
    </row>
    <row r="38" spans="1:13" ht="15">
      <c r="A38" s="318"/>
      <c r="B38" s="320"/>
      <c r="C38" s="337"/>
      <c r="D38" s="318"/>
      <c r="E38" s="322"/>
      <c r="F38" s="337"/>
      <c r="G38" s="337"/>
      <c r="H38" s="337"/>
      <c r="I38" s="338"/>
      <c r="J38" s="338"/>
      <c r="K38" s="338"/>
      <c r="L38" s="371"/>
      <c r="M38" s="15"/>
    </row>
    <row r="39" spans="1:13" ht="15">
      <c r="A39" s="318"/>
      <c r="B39" s="320">
        <f>+B37+1</f>
        <v>15</v>
      </c>
      <c r="C39" s="337"/>
      <c r="D39" s="321" t="s">
        <v>295</v>
      </c>
      <c r="E39" s="322" t="str">
        <f>"Line "&amp;B151&amp;" Below"</f>
        <v>Line 86 Below</v>
      </c>
      <c r="F39" s="337"/>
      <c r="G39" s="318"/>
      <c r="H39" s="337"/>
      <c r="I39" s="338"/>
      <c r="J39" s="338"/>
      <c r="K39" s="338"/>
      <c r="L39" s="375">
        <f>+G151</f>
        <v>86</v>
      </c>
      <c r="M39" s="15"/>
    </row>
    <row r="40" spans="1:13" ht="15">
      <c r="A40" s="318"/>
      <c r="B40" s="320">
        <f>+B39+1</f>
        <v>16</v>
      </c>
      <c r="C40" s="337"/>
      <c r="D40" s="321" t="s">
        <v>413</v>
      </c>
      <c r="E40" s="323"/>
      <c r="F40" s="337"/>
      <c r="G40" s="318"/>
      <c r="H40" s="337"/>
      <c r="I40" s="338"/>
      <c r="J40" s="338"/>
      <c r="K40" s="338"/>
      <c r="L40" s="301">
        <v>0</v>
      </c>
      <c r="M40" s="15"/>
    </row>
    <row r="41" spans="1:13" ht="15">
      <c r="A41" s="318"/>
      <c r="B41" s="320">
        <f>+B40+1</f>
        <v>17</v>
      </c>
      <c r="C41" s="337"/>
      <c r="D41" s="321" t="s">
        <v>414</v>
      </c>
      <c r="E41" s="323"/>
      <c r="F41" s="337"/>
      <c r="G41" s="318"/>
      <c r="H41" s="337"/>
      <c r="I41" s="338"/>
      <c r="J41" s="338"/>
      <c r="K41" s="338"/>
      <c r="L41" s="301">
        <v>0</v>
      </c>
      <c r="M41" s="15"/>
    </row>
    <row r="42" spans="1:13" ht="15">
      <c r="A42" s="318"/>
      <c r="B42" s="320"/>
      <c r="C42" s="337"/>
      <c r="D42" s="318"/>
      <c r="E42" s="323"/>
      <c r="F42" s="337"/>
      <c r="G42" s="318"/>
      <c r="H42" s="337"/>
      <c r="I42" s="338"/>
      <c r="J42" s="338"/>
      <c r="K42" s="338"/>
      <c r="L42" s="337"/>
      <c r="M42" s="15"/>
    </row>
    <row r="43" spans="1:13" ht="15.75" thickBot="1">
      <c r="A43" s="318"/>
      <c r="B43" s="320">
        <f>+B41+1</f>
        <v>18</v>
      </c>
      <c r="C43" s="337"/>
      <c r="D43" s="321" t="s">
        <v>294</v>
      </c>
      <c r="E43" s="324" t="str">
        <f>"(Line "&amp;B39&amp;" - Line "&amp;B40&amp;" - Line "&amp;B41&amp;")"</f>
        <v>(Line 15 - Line 16 - Line 17)</v>
      </c>
      <c r="F43" s="337"/>
      <c r="G43" s="318"/>
      <c r="H43" s="337"/>
      <c r="I43" s="338"/>
      <c r="J43" s="338"/>
      <c r="K43" s="338"/>
      <c r="L43" s="319">
        <f>+L39-L40-L41</f>
        <v>86</v>
      </c>
      <c r="M43" s="15"/>
    </row>
    <row r="44" spans="1:13" ht="15.75" thickTop="1">
      <c r="A44" s="318"/>
      <c r="B44" s="320"/>
      <c r="C44" s="337"/>
      <c r="D44" s="318"/>
      <c r="E44" s="322"/>
      <c r="F44" s="337"/>
      <c r="G44" s="337"/>
      <c r="H44" s="337"/>
      <c r="I44" s="338"/>
      <c r="J44" s="338"/>
      <c r="K44" s="338"/>
      <c r="L44" s="371"/>
      <c r="M44" s="15"/>
    </row>
    <row r="45" spans="1:13" ht="15">
      <c r="A45" s="318"/>
      <c r="B45" s="320"/>
      <c r="C45" s="337"/>
      <c r="D45" s="318"/>
      <c r="E45" s="322"/>
      <c r="F45" s="337"/>
      <c r="G45" s="337"/>
      <c r="H45" s="337"/>
      <c r="I45" s="338"/>
      <c r="J45" s="338"/>
      <c r="K45" s="338"/>
      <c r="L45" s="371"/>
      <c r="M45" s="15"/>
    </row>
    <row r="46" spans="1:13" ht="15">
      <c r="A46" s="318"/>
      <c r="B46" s="320"/>
      <c r="C46" s="337"/>
      <c r="D46" s="318"/>
      <c r="E46" s="322"/>
      <c r="F46" s="337"/>
      <c r="G46" s="337"/>
      <c r="H46" s="337"/>
      <c r="I46" s="338"/>
      <c r="J46" s="338"/>
      <c r="K46" s="338"/>
      <c r="L46" s="371"/>
      <c r="M46" s="15"/>
    </row>
    <row r="47" spans="1:13" ht="15">
      <c r="A47" s="318"/>
      <c r="B47" s="342"/>
      <c r="C47" s="318"/>
      <c r="D47" s="340"/>
      <c r="E47" s="340"/>
      <c r="F47" s="318"/>
      <c r="G47" s="324"/>
      <c r="H47" s="340"/>
      <c r="I47" s="340"/>
      <c r="J47" s="340"/>
      <c r="K47" s="340"/>
      <c r="L47" s="340"/>
      <c r="M47" s="93"/>
    </row>
    <row r="48" spans="1:16" ht="15">
      <c r="A48" s="318"/>
      <c r="B48" s="342"/>
      <c r="C48" s="318"/>
      <c r="D48" s="340"/>
      <c r="E48" s="340"/>
      <c r="F48" s="337"/>
      <c r="G48" s="324"/>
      <c r="H48" s="340"/>
      <c r="I48" s="340"/>
      <c r="J48" s="340"/>
      <c r="K48" s="340"/>
      <c r="L48" s="340"/>
      <c r="M48" s="93"/>
      <c r="P48" s="193"/>
    </row>
    <row r="49" spans="1:16" ht="15">
      <c r="A49" s="318"/>
      <c r="B49" s="342"/>
      <c r="C49" s="318"/>
      <c r="D49" s="340"/>
      <c r="E49" s="340"/>
      <c r="F49" s="337" t="str">
        <f>F3</f>
        <v>AEPTCo subsidiaries in PJM</v>
      </c>
      <c r="G49" s="324"/>
      <c r="H49" s="340"/>
      <c r="I49" s="340"/>
      <c r="J49" s="340"/>
      <c r="K49" s="340"/>
      <c r="L49" s="340"/>
      <c r="M49" s="93"/>
      <c r="P49" s="193"/>
    </row>
    <row r="50" spans="1:16" ht="15">
      <c r="A50" s="318"/>
      <c r="B50" s="342"/>
      <c r="C50" s="318"/>
      <c r="D50" s="340"/>
      <c r="E50" s="349"/>
      <c r="F50" s="337" t="str">
        <f>F4</f>
        <v>Transmission Cost of Service Formula Rate</v>
      </c>
      <c r="G50" s="349"/>
      <c r="H50" s="349"/>
      <c r="I50" s="349"/>
      <c r="J50" s="349"/>
      <c r="K50" s="349"/>
      <c r="L50" s="349"/>
      <c r="M50" s="191"/>
      <c r="P50" s="194"/>
    </row>
    <row r="51" spans="1:16" ht="15">
      <c r="A51" s="318"/>
      <c r="B51" s="342"/>
      <c r="C51" s="318"/>
      <c r="D51" s="340"/>
      <c r="E51" s="349"/>
      <c r="F51" s="364" t="str">
        <f>F5</f>
        <v>Utilizing  Actual/Projected FERC Form 1 Data</v>
      </c>
      <c r="G51" s="349"/>
      <c r="H51" s="349"/>
      <c r="I51" s="349"/>
      <c r="J51" s="349"/>
      <c r="K51" s="349"/>
      <c r="L51" s="349"/>
      <c r="M51" s="51"/>
      <c r="P51" s="194"/>
    </row>
    <row r="52" spans="1:16" ht="15">
      <c r="A52" s="318"/>
      <c r="B52" s="342"/>
      <c r="C52" s="318"/>
      <c r="D52" s="340"/>
      <c r="E52" s="349"/>
      <c r="F52" s="337"/>
      <c r="G52" s="349"/>
      <c r="H52" s="349"/>
      <c r="I52" s="349"/>
      <c r="J52" s="349"/>
      <c r="K52" s="349"/>
      <c r="L52" s="349"/>
      <c r="M52" s="16"/>
      <c r="P52" s="194"/>
    </row>
    <row r="53" spans="1:16" ht="15">
      <c r="A53" s="318"/>
      <c r="B53" s="342"/>
      <c r="C53" s="318"/>
      <c r="D53" s="340"/>
      <c r="E53" s="349"/>
      <c r="F53" s="337" t="str">
        <f>F7</f>
        <v>AEP APPALACHIAN TRANSMISSION COMPANY</v>
      </c>
      <c r="G53" s="349"/>
      <c r="H53" s="349"/>
      <c r="I53" s="349"/>
      <c r="J53" s="349"/>
      <c r="K53" s="349"/>
      <c r="L53" s="349"/>
      <c r="M53" s="16"/>
      <c r="P53" s="194"/>
    </row>
    <row r="54" spans="1:16" ht="15">
      <c r="A54" s="318"/>
      <c r="B54" s="342"/>
      <c r="C54" s="318"/>
      <c r="D54" s="340"/>
      <c r="E54" s="364"/>
      <c r="F54" s="364"/>
      <c r="G54" s="364"/>
      <c r="H54" s="364"/>
      <c r="I54" s="364"/>
      <c r="J54" s="364"/>
      <c r="K54" s="364"/>
      <c r="L54" s="349"/>
      <c r="M54" s="16"/>
      <c r="P54" s="194"/>
    </row>
    <row r="55" spans="1:13" ht="15">
      <c r="A55" s="318"/>
      <c r="B55" s="342"/>
      <c r="C55" s="318"/>
      <c r="D55" s="337" t="s">
        <v>644</v>
      </c>
      <c r="E55" s="337" t="s">
        <v>645</v>
      </c>
      <c r="F55" s="337"/>
      <c r="G55" s="337" t="s">
        <v>646</v>
      </c>
      <c r="H55" s="349" t="s">
        <v>637</v>
      </c>
      <c r="I55" s="1221" t="s">
        <v>647</v>
      </c>
      <c r="J55" s="1222"/>
      <c r="K55" s="349"/>
      <c r="L55" s="351" t="s">
        <v>648</v>
      </c>
      <c r="M55" s="16"/>
    </row>
    <row r="56" spans="1:13" ht="15">
      <c r="A56" s="318"/>
      <c r="B56" s="318"/>
      <c r="C56" s="318"/>
      <c r="D56" s="339"/>
      <c r="E56" s="339"/>
      <c r="F56" s="339"/>
      <c r="G56" s="375"/>
      <c r="H56" s="349"/>
      <c r="I56" s="349"/>
      <c r="J56" s="378"/>
      <c r="K56" s="349"/>
      <c r="L56" s="318"/>
      <c r="M56" s="16"/>
    </row>
    <row r="57" spans="1:16" ht="15.75">
      <c r="A57" s="318"/>
      <c r="B57" s="379"/>
      <c r="C57" s="337"/>
      <c r="D57" s="339"/>
      <c r="E57" s="380" t="s">
        <v>617</v>
      </c>
      <c r="F57" s="381"/>
      <c r="G57" s="349"/>
      <c r="H57" s="349"/>
      <c r="I57" s="349"/>
      <c r="J57" s="337"/>
      <c r="K57" s="349"/>
      <c r="L57" s="382" t="s">
        <v>641</v>
      </c>
      <c r="M57" s="16"/>
      <c r="P57" s="193"/>
    </row>
    <row r="58" spans="1:13" ht="15.75">
      <c r="A58" s="318"/>
      <c r="B58" s="318"/>
      <c r="C58" s="357"/>
      <c r="D58" s="383" t="s">
        <v>616</v>
      </c>
      <c r="E58" s="384" t="s">
        <v>635</v>
      </c>
      <c r="F58" s="349"/>
      <c r="G58" s="383" t="s">
        <v>603</v>
      </c>
      <c r="H58" s="385"/>
      <c r="I58" s="1223" t="s">
        <v>642</v>
      </c>
      <c r="J58" s="1224"/>
      <c r="K58" s="385"/>
      <c r="L58" s="383" t="s">
        <v>638</v>
      </c>
      <c r="M58" s="16"/>
    </row>
    <row r="59" spans="1:13" ht="15">
      <c r="A59" s="318"/>
      <c r="B59" s="386" t="str">
        <f>B9</f>
        <v>Line</v>
      </c>
      <c r="C59" s="337"/>
      <c r="D59" s="340"/>
      <c r="E59" s="349"/>
      <c r="F59" s="349"/>
      <c r="G59" s="387" t="s">
        <v>202</v>
      </c>
      <c r="H59" s="349"/>
      <c r="I59" s="349"/>
      <c r="J59" s="349"/>
      <c r="K59" s="349"/>
      <c r="L59" s="349"/>
      <c r="M59" s="16"/>
    </row>
    <row r="60" spans="1:13" ht="15.75" thickBot="1">
      <c r="A60" s="318"/>
      <c r="B60" s="356" t="str">
        <f>B10</f>
        <v>No.</v>
      </c>
      <c r="C60" s="337"/>
      <c r="D60" s="340" t="s">
        <v>604</v>
      </c>
      <c r="E60" s="388"/>
      <c r="F60" s="388"/>
      <c r="G60" s="329"/>
      <c r="H60" s="329"/>
      <c r="I60" s="330"/>
      <c r="J60" s="329"/>
      <c r="K60" s="329"/>
      <c r="L60" s="329"/>
      <c r="M60" s="16"/>
    </row>
    <row r="61" spans="1:13" ht="15">
      <c r="A61" s="318"/>
      <c r="B61" s="320">
        <f>+B43+1</f>
        <v>19</v>
      </c>
      <c r="C61" s="337"/>
      <c r="D61" s="389" t="s">
        <v>471</v>
      </c>
      <c r="E61" s="329"/>
      <c r="F61" s="329"/>
      <c r="G61" s="333"/>
      <c r="H61" s="333"/>
      <c r="I61" s="330"/>
      <c r="J61" s="331"/>
      <c r="K61" s="329"/>
      <c r="L61" s="333"/>
      <c r="M61" s="16"/>
    </row>
    <row r="62" spans="1:13" ht="15">
      <c r="A62" s="318"/>
      <c r="B62" s="320">
        <f>+B61+1</f>
        <v>20</v>
      </c>
      <c r="C62" s="337"/>
      <c r="D62" s="389" t="s">
        <v>471</v>
      </c>
      <c r="E62" s="329"/>
      <c r="F62" s="329"/>
      <c r="G62" s="333"/>
      <c r="H62" s="333"/>
      <c r="I62" s="330"/>
      <c r="J62" s="331"/>
      <c r="K62" s="329"/>
      <c r="L62" s="333"/>
      <c r="M62" s="16"/>
    </row>
    <row r="63" spans="1:13" ht="15">
      <c r="A63" s="318"/>
      <c r="B63" s="320">
        <f aca="true" t="shared" si="0" ref="B63:B71">+B62+1</f>
        <v>21</v>
      </c>
      <c r="C63" s="390"/>
      <c r="D63" s="391" t="s">
        <v>650</v>
      </c>
      <c r="E63" s="329" t="str">
        <f>"(Worksheet A ln "&amp;'WS A  - RB Support '!A19&amp;".E &amp; Ln "&amp;B232&amp;")"</f>
        <v>(Worksheet A ln 3.E &amp; Ln 145)</v>
      </c>
      <c r="F63" s="392"/>
      <c r="G63" s="333">
        <f>'WS A  - RB Support '!G19</f>
        <v>23313.5</v>
      </c>
      <c r="H63" s="333"/>
      <c r="I63" s="393" t="s">
        <v>651</v>
      </c>
      <c r="J63" s="331">
        <v>1</v>
      </c>
      <c r="K63" s="394"/>
      <c r="L63" s="395">
        <f>+L232</f>
        <v>23313.5</v>
      </c>
      <c r="M63" s="22"/>
    </row>
    <row r="64" spans="1:13" ht="15">
      <c r="A64" s="318"/>
      <c r="B64" s="320">
        <f t="shared" si="0"/>
        <v>22</v>
      </c>
      <c r="C64" s="390"/>
      <c r="D64" s="396" t="s">
        <v>238</v>
      </c>
      <c r="E64" s="329" t="str">
        <f>"(Worksheet A ln "&amp;'WS A  - RB Support '!A21&amp;".E &amp; Ln "&amp;B234&amp;")"</f>
        <v>(Worksheet A ln 4.E &amp; Ln 146)</v>
      </c>
      <c r="F64" s="392"/>
      <c r="G64" s="333">
        <f>-+'WS A  - RB Support '!G21</f>
        <v>0</v>
      </c>
      <c r="H64" s="333"/>
      <c r="I64" s="393" t="s">
        <v>643</v>
      </c>
      <c r="J64" s="331">
        <f>J154</f>
        <v>1</v>
      </c>
      <c r="K64" s="394"/>
      <c r="L64" s="395">
        <f>+G64*J64</f>
        <v>0</v>
      </c>
      <c r="M64" s="22"/>
    </row>
    <row r="65" spans="1:13" ht="15.75">
      <c r="A65" s="318"/>
      <c r="B65" s="320">
        <f>+B64+1</f>
        <v>23</v>
      </c>
      <c r="C65" s="390"/>
      <c r="D65" s="389" t="s">
        <v>471</v>
      </c>
      <c r="E65" s="392"/>
      <c r="F65" s="392"/>
      <c r="G65" s="397" t="s">
        <v>236</v>
      </c>
      <c r="H65" s="339"/>
      <c r="I65" s="393" t="s">
        <v>649</v>
      </c>
      <c r="J65" s="331">
        <v>0</v>
      </c>
      <c r="K65" s="394"/>
      <c r="L65" s="397" t="s">
        <v>236</v>
      </c>
      <c r="M65" s="22"/>
    </row>
    <row r="66" spans="1:16" ht="15.75">
      <c r="A66" s="318"/>
      <c r="B66" s="320">
        <f>+B65+1</f>
        <v>24</v>
      </c>
      <c r="C66" s="390"/>
      <c r="D66" s="389" t="s">
        <v>471</v>
      </c>
      <c r="E66" s="388"/>
      <c r="F66" s="329"/>
      <c r="G66" s="397" t="s">
        <v>236</v>
      </c>
      <c r="H66" s="339"/>
      <c r="I66" s="364" t="s">
        <v>649</v>
      </c>
      <c r="J66" s="331">
        <v>0</v>
      </c>
      <c r="K66" s="349"/>
      <c r="L66" s="397" t="s">
        <v>236</v>
      </c>
      <c r="M66" s="22"/>
      <c r="P66" s="192"/>
    </row>
    <row r="67" spans="1:13" ht="15.75">
      <c r="A67" s="318"/>
      <c r="B67" s="320">
        <f>+B66+1</f>
        <v>25</v>
      </c>
      <c r="C67" s="390"/>
      <c r="D67" s="389" t="s">
        <v>471</v>
      </c>
      <c r="E67" s="329"/>
      <c r="F67" s="329"/>
      <c r="G67" s="397" t="s">
        <v>236</v>
      </c>
      <c r="H67" s="333"/>
      <c r="I67" s="330"/>
      <c r="J67" s="331"/>
      <c r="K67" s="329"/>
      <c r="L67" s="397" t="s">
        <v>236</v>
      </c>
      <c r="M67" s="16"/>
    </row>
    <row r="68" spans="1:13" ht="15.75">
      <c r="A68" s="318"/>
      <c r="B68" s="320">
        <f t="shared" si="0"/>
        <v>26</v>
      </c>
      <c r="C68" s="390"/>
      <c r="D68" s="389" t="s">
        <v>471</v>
      </c>
      <c r="E68" s="329"/>
      <c r="F68" s="329"/>
      <c r="G68" s="397" t="s">
        <v>236</v>
      </c>
      <c r="H68" s="333"/>
      <c r="I68" s="330"/>
      <c r="J68" s="331"/>
      <c r="K68" s="329"/>
      <c r="L68" s="397" t="s">
        <v>236</v>
      </c>
      <c r="M68" s="16"/>
    </row>
    <row r="69" spans="1:13" ht="15">
      <c r="A69" s="318"/>
      <c r="B69" s="320">
        <f t="shared" si="0"/>
        <v>27</v>
      </c>
      <c r="C69" s="390"/>
      <c r="D69" s="340" t="s">
        <v>652</v>
      </c>
      <c r="E69" s="329" t="str">
        <f>"(Worksheet A ln "&amp;'WS A  - RB Support '!A27&amp;".E)"</f>
        <v>(Worksheet A ln 7.E)</v>
      </c>
      <c r="F69" s="329"/>
      <c r="G69" s="333">
        <f>+'WS A  - RB Support '!G27</f>
        <v>0</v>
      </c>
      <c r="H69" s="333"/>
      <c r="I69" s="330" t="s">
        <v>653</v>
      </c>
      <c r="J69" s="331">
        <f>L244</f>
        <v>0.9723337795626952</v>
      </c>
      <c r="K69" s="329"/>
      <c r="L69" s="333">
        <f>+J69*G69</f>
        <v>0</v>
      </c>
      <c r="M69" s="16"/>
    </row>
    <row r="70" spans="1:13" ht="15">
      <c r="A70" s="318"/>
      <c r="B70" s="320">
        <f t="shared" si="0"/>
        <v>28</v>
      </c>
      <c r="C70" s="390"/>
      <c r="D70" s="398" t="s">
        <v>237</v>
      </c>
      <c r="E70" s="329" t="str">
        <f>"(Worksheet A ln "&amp;'WS A  - RB Support '!A29&amp;".E)"</f>
        <v>(Worksheet A ln 8.E)</v>
      </c>
      <c r="F70" s="329"/>
      <c r="G70" s="333">
        <f>-'WS A  - RB Support '!G29</f>
        <v>0</v>
      </c>
      <c r="H70" s="333"/>
      <c r="I70" s="330" t="s">
        <v>653</v>
      </c>
      <c r="J70" s="331">
        <f>L244</f>
        <v>0.9723337795626952</v>
      </c>
      <c r="K70" s="329"/>
      <c r="L70" s="333">
        <f>+G70*J70</f>
        <v>0</v>
      </c>
      <c r="M70" s="16"/>
    </row>
    <row r="71" spans="1:15" ht="15.75" thickBot="1">
      <c r="A71" s="318"/>
      <c r="B71" s="320">
        <f t="shared" si="0"/>
        <v>29</v>
      </c>
      <c r="C71" s="390"/>
      <c r="D71" s="340" t="s">
        <v>654</v>
      </c>
      <c r="E71" s="329" t="str">
        <f>"(Worksheet A ln "&amp;'WS A  - RB Support '!A31&amp;".E)"</f>
        <v>(Worksheet A ln 9.E)</v>
      </c>
      <c r="F71" s="329"/>
      <c r="G71" s="399">
        <f>'WS A  - RB Support '!G31</f>
        <v>38023</v>
      </c>
      <c r="H71" s="333"/>
      <c r="I71" s="330" t="s">
        <v>653</v>
      </c>
      <c r="J71" s="331">
        <f>L244</f>
        <v>0.9723337795626952</v>
      </c>
      <c r="K71" s="329"/>
      <c r="L71" s="399">
        <f>+J71*G71</f>
        <v>36971.047300312355</v>
      </c>
      <c r="M71" s="16"/>
      <c r="N71" s="20"/>
      <c r="O71" s="20"/>
    </row>
    <row r="72" spans="1:15" ht="15.75">
      <c r="A72" s="318"/>
      <c r="B72" s="320">
        <f>+B71+1</f>
        <v>30</v>
      </c>
      <c r="C72" s="390"/>
      <c r="D72" s="340" t="s">
        <v>602</v>
      </c>
      <c r="E72" s="329" t="str">
        <f>"(Sum of Lines: "&amp;B63&amp;", "&amp;B64&amp;" &amp; "&amp;B69&amp;" to "&amp;B71&amp;")"</f>
        <v>(Sum of Lines: 21, 22 &amp; 27 to 29)</v>
      </c>
      <c r="F72" s="400"/>
      <c r="G72" s="333">
        <f>SUM(G61:G71)</f>
        <v>61336.5</v>
      </c>
      <c r="H72" s="333"/>
      <c r="I72" s="401" t="s">
        <v>450</v>
      </c>
      <c r="J72" s="402">
        <f>IF(G72=0,0,L72/G72)</f>
        <v>0.9828494827763624</v>
      </c>
      <c r="K72" s="329"/>
      <c r="L72" s="333">
        <f>SUM(L61:L71)</f>
        <v>60284.547300312355</v>
      </c>
      <c r="M72" s="16"/>
      <c r="N72" s="20"/>
      <c r="O72" s="20"/>
    </row>
    <row r="73" spans="1:15" ht="15.75">
      <c r="A73" s="318"/>
      <c r="B73" s="320"/>
      <c r="C73" s="337"/>
      <c r="D73" s="340"/>
      <c r="E73" s="377"/>
      <c r="F73" s="400"/>
      <c r="G73" s="333"/>
      <c r="H73" s="333"/>
      <c r="I73" s="401" t="s">
        <v>763</v>
      </c>
      <c r="J73" s="403">
        <f>+IF(L63=0,0,L63/(G63))</f>
        <v>1</v>
      </c>
      <c r="K73" s="329"/>
      <c r="L73" s="333"/>
      <c r="M73" s="16"/>
      <c r="N73" s="94"/>
      <c r="O73" s="20"/>
    </row>
    <row r="74" spans="1:15" ht="15">
      <c r="A74" s="318"/>
      <c r="B74" s="320">
        <f>+B72+1</f>
        <v>31</v>
      </c>
      <c r="C74" s="337"/>
      <c r="D74" s="340" t="s">
        <v>580</v>
      </c>
      <c r="E74" s="388"/>
      <c r="F74" s="388"/>
      <c r="G74" s="333"/>
      <c r="H74" s="404"/>
      <c r="I74" s="330"/>
      <c r="J74" s="405"/>
      <c r="K74" s="329"/>
      <c r="L74" s="333"/>
      <c r="M74" s="16"/>
      <c r="N74" s="3"/>
      <c r="O74" s="3"/>
    </row>
    <row r="75" spans="1:15" ht="15">
      <c r="A75" s="318"/>
      <c r="B75" s="320">
        <f>+B74+1</f>
        <v>32</v>
      </c>
      <c r="C75" s="337"/>
      <c r="D75" s="389" t="s">
        <v>471</v>
      </c>
      <c r="E75" s="329"/>
      <c r="F75" s="329"/>
      <c r="G75" s="333"/>
      <c r="H75" s="333"/>
      <c r="I75" s="330"/>
      <c r="J75" s="331"/>
      <c r="K75" s="329"/>
      <c r="L75" s="333"/>
      <c r="M75" s="16"/>
      <c r="N75" s="3"/>
      <c r="O75" s="3"/>
    </row>
    <row r="76" spans="1:15" ht="15">
      <c r="A76" s="318"/>
      <c r="B76" s="320">
        <f aca="true" t="shared" si="1" ref="B76:B89">+B75+1</f>
        <v>33</v>
      </c>
      <c r="C76" s="337"/>
      <c r="D76" s="389" t="s">
        <v>471</v>
      </c>
      <c r="E76" s="329"/>
      <c r="F76" s="329"/>
      <c r="G76" s="333"/>
      <c r="H76" s="333"/>
      <c r="I76" s="330"/>
      <c r="J76" s="331"/>
      <c r="K76" s="329"/>
      <c r="L76" s="333"/>
      <c r="M76" s="16"/>
      <c r="N76" s="3"/>
      <c r="O76" s="3"/>
    </row>
    <row r="77" spans="1:15" ht="15.75">
      <c r="A77" s="318"/>
      <c r="B77" s="320">
        <f t="shared" si="1"/>
        <v>34</v>
      </c>
      <c r="C77" s="390"/>
      <c r="D77" s="391" t="str">
        <f>D63</f>
        <v>  Transmission</v>
      </c>
      <c r="E77" s="329" t="str">
        <f>"(Worksheet A ln "&amp;'WS A  - RB Support '!A43&amp;".E &amp; "&amp;'WS A  - RB Support '!A75&amp;".E)"</f>
        <v>(Worksheet A ln 14.E &amp; 28.E)</v>
      </c>
      <c r="F77" s="392"/>
      <c r="G77" s="395">
        <f>'WS A  - RB Support '!G43</f>
        <v>215</v>
      </c>
      <c r="H77" s="333"/>
      <c r="I77" s="406" t="s">
        <v>583</v>
      </c>
      <c r="J77" s="407">
        <f>IF(G77=0,1,L77/G77)</f>
        <v>1</v>
      </c>
      <c r="K77" s="394"/>
      <c r="L77" s="333">
        <f>'WS A  - RB Support '!G75</f>
        <v>215</v>
      </c>
      <c r="M77" s="22"/>
      <c r="N77" s="3"/>
      <c r="O77" s="3"/>
    </row>
    <row r="78" spans="1:15" ht="15.75">
      <c r="A78" s="318"/>
      <c r="B78" s="320">
        <f t="shared" si="1"/>
        <v>35</v>
      </c>
      <c r="C78" s="390"/>
      <c r="D78" s="398" t="s">
        <v>238</v>
      </c>
      <c r="E78" s="329" t="str">
        <f>"(Worksheet A ln "&amp;'WS A  - RB Support '!A45&amp;".E)"</f>
        <v>(Worksheet A ln 15.E)</v>
      </c>
      <c r="F78" s="392"/>
      <c r="G78" s="333">
        <f>-'WS A  - RB Support '!G45</f>
        <v>0</v>
      </c>
      <c r="H78" s="333"/>
      <c r="I78" s="406" t="s">
        <v>583</v>
      </c>
      <c r="J78" s="331">
        <f>+J77</f>
        <v>1</v>
      </c>
      <c r="K78" s="394"/>
      <c r="L78" s="333">
        <f>+J78*G78</f>
        <v>0</v>
      </c>
      <c r="M78" s="22"/>
      <c r="N78" s="3"/>
      <c r="O78" s="3"/>
    </row>
    <row r="79" spans="1:15" ht="15.75">
      <c r="A79" s="318"/>
      <c r="B79" s="320">
        <f t="shared" si="1"/>
        <v>36</v>
      </c>
      <c r="C79" s="390"/>
      <c r="D79" s="389" t="s">
        <v>471</v>
      </c>
      <c r="E79" s="392"/>
      <c r="F79" s="392"/>
      <c r="G79" s="397" t="s">
        <v>236</v>
      </c>
      <c r="H79" s="339"/>
      <c r="I79" s="393" t="s">
        <v>637</v>
      </c>
      <c r="J79" s="331" t="s">
        <v>637</v>
      </c>
      <c r="K79" s="394"/>
      <c r="L79" s="397" t="s">
        <v>236</v>
      </c>
      <c r="M79" s="22"/>
      <c r="N79" s="3"/>
      <c r="O79" s="3"/>
    </row>
    <row r="80" spans="1:15" ht="15.75">
      <c r="A80" s="318"/>
      <c r="B80" s="320">
        <f t="shared" si="1"/>
        <v>37</v>
      </c>
      <c r="C80" s="390"/>
      <c r="D80" s="389" t="s">
        <v>471</v>
      </c>
      <c r="E80" s="392"/>
      <c r="F80" s="392"/>
      <c r="G80" s="397" t="s">
        <v>236</v>
      </c>
      <c r="H80" s="339"/>
      <c r="I80" s="393" t="s">
        <v>637</v>
      </c>
      <c r="J80" s="331" t="s">
        <v>637</v>
      </c>
      <c r="K80" s="394"/>
      <c r="L80" s="397" t="s">
        <v>236</v>
      </c>
      <c r="M80" s="22"/>
      <c r="N80" s="3"/>
      <c r="O80" s="3"/>
    </row>
    <row r="81" spans="1:15" ht="15.75">
      <c r="A81" s="318"/>
      <c r="B81" s="320">
        <f t="shared" si="1"/>
        <v>38</v>
      </c>
      <c r="C81" s="390"/>
      <c r="D81" s="389" t="s">
        <v>471</v>
      </c>
      <c r="E81" s="392"/>
      <c r="F81" s="392"/>
      <c r="G81" s="397" t="s">
        <v>236</v>
      </c>
      <c r="H81" s="339"/>
      <c r="I81" s="393" t="s">
        <v>637</v>
      </c>
      <c r="J81" s="331" t="s">
        <v>637</v>
      </c>
      <c r="K81" s="394"/>
      <c r="L81" s="397" t="s">
        <v>236</v>
      </c>
      <c r="M81" s="22"/>
      <c r="N81" s="3"/>
      <c r="O81" s="3"/>
    </row>
    <row r="82" spans="1:15" ht="15.75">
      <c r="A82" s="318"/>
      <c r="B82" s="320">
        <f t="shared" si="1"/>
        <v>39</v>
      </c>
      <c r="C82" s="390"/>
      <c r="D82" s="389" t="s">
        <v>471</v>
      </c>
      <c r="E82" s="392"/>
      <c r="F82" s="392"/>
      <c r="G82" s="397" t="s">
        <v>236</v>
      </c>
      <c r="H82" s="339"/>
      <c r="I82" s="393" t="s">
        <v>637</v>
      </c>
      <c r="J82" s="331" t="s">
        <v>637</v>
      </c>
      <c r="K82" s="394"/>
      <c r="L82" s="397" t="s">
        <v>236</v>
      </c>
      <c r="M82" s="22"/>
      <c r="N82" s="3"/>
      <c r="O82" s="3"/>
    </row>
    <row r="83" spans="1:15" ht="15.75">
      <c r="A83" s="318"/>
      <c r="B83" s="320">
        <f t="shared" si="1"/>
        <v>40</v>
      </c>
      <c r="C83" s="390"/>
      <c r="D83" s="389" t="s">
        <v>471</v>
      </c>
      <c r="E83" s="392"/>
      <c r="F83" s="392"/>
      <c r="G83" s="397" t="s">
        <v>236</v>
      </c>
      <c r="H83" s="339"/>
      <c r="I83" s="393" t="s">
        <v>637</v>
      </c>
      <c r="J83" s="331" t="s">
        <v>637</v>
      </c>
      <c r="K83" s="394"/>
      <c r="L83" s="397" t="s">
        <v>236</v>
      </c>
      <c r="M83" s="22"/>
      <c r="N83" s="3"/>
      <c r="O83" s="3"/>
    </row>
    <row r="84" spans="1:15" ht="15.75">
      <c r="A84" s="318"/>
      <c r="B84" s="320">
        <f t="shared" si="1"/>
        <v>41</v>
      </c>
      <c r="C84" s="390"/>
      <c r="D84" s="389" t="s">
        <v>471</v>
      </c>
      <c r="E84" s="329"/>
      <c r="F84" s="329"/>
      <c r="G84" s="397" t="s">
        <v>236</v>
      </c>
      <c r="H84" s="333"/>
      <c r="I84" s="330"/>
      <c r="J84" s="331"/>
      <c r="K84" s="329"/>
      <c r="L84" s="397" t="s">
        <v>236</v>
      </c>
      <c r="M84" s="16"/>
      <c r="N84" s="3"/>
      <c r="O84" s="3"/>
    </row>
    <row r="85" spans="1:15" ht="15.75">
      <c r="A85" s="318"/>
      <c r="B85" s="320">
        <f t="shared" si="1"/>
        <v>42</v>
      </c>
      <c r="C85" s="390"/>
      <c r="D85" s="389" t="s">
        <v>471</v>
      </c>
      <c r="E85" s="329"/>
      <c r="F85" s="329"/>
      <c r="G85" s="397" t="s">
        <v>236</v>
      </c>
      <c r="H85" s="333"/>
      <c r="I85" s="330"/>
      <c r="J85" s="331"/>
      <c r="K85" s="329"/>
      <c r="L85" s="397" t="s">
        <v>236</v>
      </c>
      <c r="M85" s="16"/>
      <c r="N85" s="3"/>
      <c r="O85" s="3"/>
    </row>
    <row r="86" spans="1:15" ht="15">
      <c r="A86" s="318"/>
      <c r="B86" s="320">
        <f t="shared" si="1"/>
        <v>43</v>
      </c>
      <c r="C86" s="408"/>
      <c r="D86" s="336" t="str">
        <f>+D69</f>
        <v>  General Plant   </v>
      </c>
      <c r="E86" s="329" t="str">
        <f>"(Worksheet A ln "&amp;'WS A  - RB Support '!A51&amp;".E)"</f>
        <v>(Worksheet A ln 18.E)</v>
      </c>
      <c r="F86" s="329"/>
      <c r="G86" s="362">
        <f>'WS A  - RB Support '!G51</f>
        <v>0</v>
      </c>
      <c r="H86" s="333"/>
      <c r="I86" s="330" t="s">
        <v>653</v>
      </c>
      <c r="J86" s="331">
        <f>L244</f>
        <v>0.9723337795626952</v>
      </c>
      <c r="K86" s="329"/>
      <c r="L86" s="333">
        <f>+J86*G86</f>
        <v>0</v>
      </c>
      <c r="M86" s="16"/>
      <c r="N86" s="3"/>
      <c r="O86" s="3"/>
    </row>
    <row r="87" spans="1:15" ht="15">
      <c r="A87" s="318"/>
      <c r="B87" s="320">
        <f t="shared" si="1"/>
        <v>44</v>
      </c>
      <c r="C87" s="408"/>
      <c r="D87" s="398" t="s">
        <v>237</v>
      </c>
      <c r="E87" s="329" t="str">
        <f>"(Worksheet A ln "&amp;'WS A  - RB Support '!A53&amp;".E)"</f>
        <v>(Worksheet A ln 19.E)</v>
      </c>
      <c r="F87" s="329"/>
      <c r="G87" s="333">
        <f>'WS A  - RB Support '!G53</f>
        <v>0</v>
      </c>
      <c r="H87" s="333"/>
      <c r="I87" s="330" t="s">
        <v>653</v>
      </c>
      <c r="J87" s="331">
        <f>L244</f>
        <v>0.9723337795626952</v>
      </c>
      <c r="K87" s="329"/>
      <c r="L87" s="333">
        <f>+J87*G87</f>
        <v>0</v>
      </c>
      <c r="M87" s="16"/>
      <c r="N87" s="3"/>
      <c r="O87" s="3"/>
    </row>
    <row r="88" spans="1:15" ht="15.75" thickBot="1">
      <c r="A88" s="318"/>
      <c r="B88" s="320">
        <f t="shared" si="1"/>
        <v>45</v>
      </c>
      <c r="C88" s="408"/>
      <c r="D88" s="336" t="str">
        <f>+D71</f>
        <v>  Intangible Plant</v>
      </c>
      <c r="E88" s="329" t="str">
        <f>"(Worksheet A ln "&amp;'WS A  - RB Support '!A55&amp;".E)"</f>
        <v>(Worksheet A ln 20.E)</v>
      </c>
      <c r="F88" s="329"/>
      <c r="G88" s="399">
        <f>'WS A  - RB Support '!G55</f>
        <v>5174</v>
      </c>
      <c r="H88" s="333"/>
      <c r="I88" s="330" t="s">
        <v>653</v>
      </c>
      <c r="J88" s="331">
        <f>L244</f>
        <v>0.9723337795626952</v>
      </c>
      <c r="K88" s="329"/>
      <c r="L88" s="399">
        <f>+J88*G88</f>
        <v>5030.854975457385</v>
      </c>
      <c r="M88" s="18"/>
      <c r="N88" s="3"/>
      <c r="O88" s="3"/>
    </row>
    <row r="89" spans="1:15" ht="15">
      <c r="A89" s="318"/>
      <c r="B89" s="320">
        <f t="shared" si="1"/>
        <v>46</v>
      </c>
      <c r="C89" s="408"/>
      <c r="D89" s="336" t="s">
        <v>601</v>
      </c>
      <c r="E89" s="329" t="str">
        <f>"(Sum of Lines: "&amp;B77&amp;", "&amp;B78&amp;" &amp; "&amp;B86&amp;" to "&amp;B88&amp;")"</f>
        <v>(Sum of Lines: 34, 35 &amp; 43 to 45)</v>
      </c>
      <c r="F89" s="409"/>
      <c r="G89" s="333">
        <f>SUM(G75:G88)</f>
        <v>5389</v>
      </c>
      <c r="H89" s="333"/>
      <c r="I89" s="330"/>
      <c r="J89" s="329"/>
      <c r="K89" s="333"/>
      <c r="L89" s="333">
        <f>SUM(L75:L88)</f>
        <v>5245.854975457385</v>
      </c>
      <c r="M89" s="16"/>
      <c r="N89" s="3"/>
      <c r="O89" s="3"/>
    </row>
    <row r="90" spans="1:15" ht="15">
      <c r="A90" s="318"/>
      <c r="B90" s="320"/>
      <c r="C90" s="337"/>
      <c r="D90" s="318"/>
      <c r="E90" s="410"/>
      <c r="F90" s="409"/>
      <c r="G90" s="333"/>
      <c r="H90" s="333"/>
      <c r="I90" s="330"/>
      <c r="J90" s="411"/>
      <c r="K90" s="329"/>
      <c r="L90" s="333"/>
      <c r="M90" s="16"/>
      <c r="N90" s="3"/>
      <c r="O90" s="3"/>
    </row>
    <row r="91" spans="1:15" ht="15">
      <c r="A91" s="318"/>
      <c r="B91" s="320">
        <f>+B89+1</f>
        <v>47</v>
      </c>
      <c r="C91" s="337"/>
      <c r="D91" s="340" t="s">
        <v>605</v>
      </c>
      <c r="E91" s="388"/>
      <c r="F91" s="388"/>
      <c r="G91" s="333"/>
      <c r="H91" s="333"/>
      <c r="I91" s="330"/>
      <c r="J91" s="329"/>
      <c r="K91" s="329"/>
      <c r="L91" s="333"/>
      <c r="M91" s="16"/>
      <c r="N91" s="3"/>
      <c r="O91" s="3"/>
    </row>
    <row r="92" spans="1:15" ht="15">
      <c r="A92" s="318"/>
      <c r="B92" s="320">
        <f aca="true" t="shared" si="2" ref="B92:B102">+B91+1</f>
        <v>48</v>
      </c>
      <c r="C92" s="390"/>
      <c r="D92" s="389" t="s">
        <v>471</v>
      </c>
      <c r="E92" s="329"/>
      <c r="F92" s="329"/>
      <c r="G92" s="333"/>
      <c r="H92" s="333"/>
      <c r="I92" s="330"/>
      <c r="J92" s="331"/>
      <c r="K92" s="329"/>
      <c r="L92" s="333"/>
      <c r="M92" s="16"/>
      <c r="N92" s="3"/>
      <c r="O92" s="3"/>
    </row>
    <row r="93" spans="1:15" ht="15">
      <c r="A93" s="318"/>
      <c r="B93" s="412">
        <f t="shared" si="2"/>
        <v>49</v>
      </c>
      <c r="C93" s="390"/>
      <c r="D93" s="398" t="str">
        <f>+D77</f>
        <v>  Transmission</v>
      </c>
      <c r="E93" s="329" t="str">
        <f>" (ln "&amp;B63&amp;" + ln "&amp;B64&amp;" - ln "&amp;B77&amp;" - ln "&amp;B78&amp;")"</f>
        <v> (ln 21 + ln 22 - ln 34 - ln 35)</v>
      </c>
      <c r="F93" s="329"/>
      <c r="G93" s="333">
        <f>+G63+G64-G77-G78</f>
        <v>23098.5</v>
      </c>
      <c r="H93" s="333"/>
      <c r="I93" s="330"/>
      <c r="J93" s="407"/>
      <c r="K93" s="329"/>
      <c r="L93" s="333">
        <f>+L63+L64-L77-L78</f>
        <v>23098.5</v>
      </c>
      <c r="M93" s="16"/>
      <c r="N93" s="3"/>
      <c r="O93" s="3"/>
    </row>
    <row r="94" spans="1:15" ht="15.75">
      <c r="A94" s="318"/>
      <c r="B94" s="412">
        <f aca="true" t="shared" si="3" ref="B94:B99">+B93+1</f>
        <v>50</v>
      </c>
      <c r="C94" s="390"/>
      <c r="D94" s="389" t="s">
        <v>471</v>
      </c>
      <c r="E94" s="329"/>
      <c r="F94" s="329"/>
      <c r="G94" s="397" t="s">
        <v>236</v>
      </c>
      <c r="H94" s="413"/>
      <c r="I94" s="364"/>
      <c r="J94" s="414"/>
      <c r="K94" s="349"/>
      <c r="L94" s="397" t="s">
        <v>236</v>
      </c>
      <c r="M94" s="16"/>
      <c r="N94" s="3"/>
      <c r="O94" s="3"/>
    </row>
    <row r="95" spans="1:15" ht="15.75">
      <c r="A95" s="318"/>
      <c r="B95" s="412">
        <f t="shared" si="3"/>
        <v>51</v>
      </c>
      <c r="C95" s="390"/>
      <c r="D95" s="389" t="s">
        <v>471</v>
      </c>
      <c r="E95" s="329"/>
      <c r="F95" s="329"/>
      <c r="G95" s="397" t="s">
        <v>236</v>
      </c>
      <c r="H95" s="413"/>
      <c r="I95" s="364"/>
      <c r="J95" s="414"/>
      <c r="K95" s="349"/>
      <c r="L95" s="397" t="s">
        <v>236</v>
      </c>
      <c r="M95" s="16"/>
      <c r="N95" s="3"/>
      <c r="O95" s="3"/>
    </row>
    <row r="96" spans="1:15" ht="15.75">
      <c r="A96" s="318"/>
      <c r="B96" s="412">
        <f t="shared" si="3"/>
        <v>52</v>
      </c>
      <c r="C96" s="390"/>
      <c r="D96" s="389" t="s">
        <v>471</v>
      </c>
      <c r="E96" s="329"/>
      <c r="F96" s="329"/>
      <c r="G96" s="397" t="s">
        <v>236</v>
      </c>
      <c r="H96" s="413"/>
      <c r="I96" s="364"/>
      <c r="J96" s="414"/>
      <c r="K96" s="349"/>
      <c r="L96" s="397" t="s">
        <v>236</v>
      </c>
      <c r="M96" s="16"/>
      <c r="N96" s="3"/>
      <c r="O96" s="3"/>
    </row>
    <row r="97" spans="1:15" ht="15.75">
      <c r="A97" s="318"/>
      <c r="B97" s="412">
        <f t="shared" si="3"/>
        <v>53</v>
      </c>
      <c r="C97" s="390"/>
      <c r="D97" s="389" t="s">
        <v>471</v>
      </c>
      <c r="E97" s="329"/>
      <c r="F97" s="329"/>
      <c r="G97" s="397" t="s">
        <v>236</v>
      </c>
      <c r="H97" s="413"/>
      <c r="I97" s="364"/>
      <c r="J97" s="414"/>
      <c r="K97" s="349"/>
      <c r="L97" s="397" t="s">
        <v>236</v>
      </c>
      <c r="M97" s="16"/>
      <c r="N97" s="3"/>
      <c r="O97" s="3"/>
    </row>
    <row r="98" spans="1:15" ht="15.75">
      <c r="A98" s="318"/>
      <c r="B98" s="412">
        <f t="shared" si="3"/>
        <v>54</v>
      </c>
      <c r="C98" s="390"/>
      <c r="D98" s="389" t="s">
        <v>471</v>
      </c>
      <c r="E98" s="329"/>
      <c r="F98" s="329"/>
      <c r="G98" s="397" t="s">
        <v>236</v>
      </c>
      <c r="H98" s="413"/>
      <c r="I98" s="364"/>
      <c r="J98" s="414"/>
      <c r="K98" s="349"/>
      <c r="L98" s="397" t="s">
        <v>236</v>
      </c>
      <c r="M98" s="16"/>
      <c r="N98" s="3"/>
      <c r="O98" s="3"/>
    </row>
    <row r="99" spans="1:15" ht="15">
      <c r="A99" s="318"/>
      <c r="B99" s="320">
        <f t="shared" si="3"/>
        <v>55</v>
      </c>
      <c r="C99" s="390"/>
      <c r="D99" s="389" t="s">
        <v>471</v>
      </c>
      <c r="E99" s="329"/>
      <c r="F99" s="329"/>
      <c r="G99" s="333"/>
      <c r="H99" s="333"/>
      <c r="I99" s="330"/>
      <c r="J99" s="331"/>
      <c r="K99" s="329"/>
      <c r="L99" s="333"/>
      <c r="M99" s="16"/>
      <c r="O99" s="3"/>
    </row>
    <row r="100" spans="1:15" ht="15">
      <c r="A100" s="318"/>
      <c r="B100" s="320">
        <f t="shared" si="2"/>
        <v>56</v>
      </c>
      <c r="C100" s="390"/>
      <c r="D100" s="398" t="str">
        <f>+D86</f>
        <v>  General Plant   </v>
      </c>
      <c r="E100" s="329" t="str">
        <f>" (ln "&amp;B69&amp;" + ln "&amp;B70&amp;" - ln "&amp;B86&amp;" - ln "&amp;B87&amp;")"</f>
        <v> (ln 27 + ln 28 - ln 43 - ln 44)</v>
      </c>
      <c r="F100" s="329"/>
      <c r="G100" s="333">
        <f>+G69+G70-G86-G87</f>
        <v>0</v>
      </c>
      <c r="H100" s="333"/>
      <c r="I100" s="330"/>
      <c r="J100" s="411"/>
      <c r="K100" s="329"/>
      <c r="L100" s="333">
        <f>+L69+L70-L86-L87</f>
        <v>0</v>
      </c>
      <c r="M100" s="16"/>
      <c r="N100" s="3"/>
      <c r="O100" s="3"/>
    </row>
    <row r="101" spans="1:15" ht="15.75" thickBot="1">
      <c r="A101" s="318"/>
      <c r="B101" s="320">
        <f t="shared" si="2"/>
        <v>57</v>
      </c>
      <c r="C101" s="390"/>
      <c r="D101" s="398" t="str">
        <f>+D88</f>
        <v>  Intangible Plant</v>
      </c>
      <c r="E101" s="329" t="str">
        <f>" (ln "&amp;B71&amp;" - ln "&amp;B88&amp;")"</f>
        <v> (ln 29 - ln 45)</v>
      </c>
      <c r="F101" s="329"/>
      <c r="G101" s="399">
        <f>+G71-G88</f>
        <v>32849</v>
      </c>
      <c r="H101" s="333"/>
      <c r="I101" s="330"/>
      <c r="J101" s="411"/>
      <c r="K101" s="329"/>
      <c r="L101" s="399">
        <f>+L71-L88</f>
        <v>31940.192324854972</v>
      </c>
      <c r="M101" s="16"/>
      <c r="N101" s="3"/>
      <c r="O101" s="3"/>
    </row>
    <row r="102" spans="1:15" ht="15.75">
      <c r="A102" s="318"/>
      <c r="B102" s="320">
        <f t="shared" si="2"/>
        <v>58</v>
      </c>
      <c r="C102" s="390"/>
      <c r="D102" s="398" t="s">
        <v>600</v>
      </c>
      <c r="E102" s="329" t="str">
        <f>"(Sum of Lines: "&amp;B93&amp;" to "&amp;B98&amp;" &amp; "&amp;B100&amp;", "&amp;B101&amp;")"</f>
        <v>(Sum of Lines: 49 to 54 &amp; 56, 57)</v>
      </c>
      <c r="F102" s="329"/>
      <c r="G102" s="333">
        <f>SUM(G92:G101)</f>
        <v>55947.5</v>
      </c>
      <c r="H102" s="333"/>
      <c r="I102" s="415" t="s">
        <v>449</v>
      </c>
      <c r="J102" s="402">
        <f>IF(G102=0,0,+L102/G102)</f>
        <v>0.9837560628241651</v>
      </c>
      <c r="K102" s="329"/>
      <c r="L102" s="333">
        <f>SUM(L93:L101)</f>
        <v>55038.69232485497</v>
      </c>
      <c r="M102" s="16"/>
      <c r="N102" s="3"/>
      <c r="O102" s="3"/>
    </row>
    <row r="103" spans="1:15" ht="15">
      <c r="A103" s="318"/>
      <c r="B103" s="320"/>
      <c r="C103" s="337"/>
      <c r="D103" s="340"/>
      <c r="E103" s="329"/>
      <c r="F103" s="329"/>
      <c r="G103" s="333"/>
      <c r="H103" s="333"/>
      <c r="I103" s="376"/>
      <c r="J103" s="416"/>
      <c r="K103" s="329"/>
      <c r="L103" s="333"/>
      <c r="M103" s="16"/>
      <c r="N103" s="3"/>
      <c r="O103" s="3"/>
    </row>
    <row r="104" spans="1:15" ht="15">
      <c r="A104" s="318"/>
      <c r="B104" s="320"/>
      <c r="C104" s="337"/>
      <c r="D104" s="318"/>
      <c r="E104" s="318"/>
      <c r="F104" s="318"/>
      <c r="G104" s="339"/>
      <c r="H104" s="339"/>
      <c r="I104" s="339"/>
      <c r="J104" s="339"/>
      <c r="K104" s="339"/>
      <c r="L104" s="339"/>
      <c r="M104"/>
      <c r="N104" s="3"/>
      <c r="O104" s="3"/>
    </row>
    <row r="105" spans="1:15" ht="15">
      <c r="A105" s="318"/>
      <c r="B105" s="320">
        <f>+B102+1</f>
        <v>59</v>
      </c>
      <c r="C105" s="337"/>
      <c r="D105" s="340" t="s">
        <v>173</v>
      </c>
      <c r="E105" s="329" t="s">
        <v>150</v>
      </c>
      <c r="F105" s="330"/>
      <c r="G105" s="339"/>
      <c r="H105" s="339"/>
      <c r="I105" s="339"/>
      <c r="J105" s="339"/>
      <c r="K105" s="339"/>
      <c r="L105" s="339"/>
      <c r="M105"/>
      <c r="N105" s="3"/>
      <c r="O105" s="3"/>
    </row>
    <row r="106" spans="1:15" ht="15">
      <c r="A106" s="318"/>
      <c r="B106" s="320">
        <f aca="true" t="shared" si="4" ref="B106:B111">+B105+1</f>
        <v>60</v>
      </c>
      <c r="C106" s="390"/>
      <c r="D106" s="396" t="s">
        <v>726</v>
      </c>
      <c r="E106" s="329" t="str">
        <f>"(Worksheet B, ln "&amp;'WS B ADIT &amp; ITC'!A15&amp;" &amp; ln "&amp;'WS B ADIT &amp; ITC'!A18&amp;".E)"</f>
        <v>(Worksheet B, ln 2 &amp; ln 5.E)</v>
      </c>
      <c r="F106" s="329"/>
      <c r="G106" s="333">
        <f>'WS B ADIT &amp; ITC'!I15</f>
        <v>0</v>
      </c>
      <c r="H106" s="333"/>
      <c r="I106" s="330" t="s">
        <v>649</v>
      </c>
      <c r="J106" s="331"/>
      <c r="K106" s="329"/>
      <c r="L106" s="333">
        <f>'WS B ADIT &amp; ITC'!I18</f>
        <v>0</v>
      </c>
      <c r="M106" s="16"/>
      <c r="N106" s="3"/>
      <c r="O106" s="3"/>
    </row>
    <row r="107" spans="1:15" ht="15">
      <c r="A107" s="318"/>
      <c r="B107" s="320">
        <f t="shared" si="4"/>
        <v>61</v>
      </c>
      <c r="C107" s="390"/>
      <c r="D107" s="396" t="s">
        <v>727</v>
      </c>
      <c r="E107" s="329" t="str">
        <f>"(Worksheet B, ln "&amp;'WS B ADIT &amp; ITC'!A23&amp;" &amp; ln "&amp;'WS B ADIT &amp; ITC'!A26&amp;".E)"</f>
        <v>(Worksheet B, ln 7 &amp; ln 10.E)</v>
      </c>
      <c r="F107" s="329"/>
      <c r="G107" s="333">
        <f>-'WS B ADIT &amp; ITC'!I23</f>
        <v>30743.495000000003</v>
      </c>
      <c r="H107" s="333"/>
      <c r="I107" s="330" t="s">
        <v>651</v>
      </c>
      <c r="J107" s="331"/>
      <c r="K107" s="329"/>
      <c r="L107" s="333">
        <f>-'WS B ADIT &amp; ITC'!I26</f>
        <v>14240.484105022831</v>
      </c>
      <c r="M107" s="16"/>
      <c r="N107" s="3"/>
      <c r="O107" s="3"/>
    </row>
    <row r="108" spans="1:15" ht="15">
      <c r="A108" s="318"/>
      <c r="B108" s="320">
        <f t="shared" si="4"/>
        <v>62</v>
      </c>
      <c r="C108" s="390"/>
      <c r="D108" s="396" t="s">
        <v>728</v>
      </c>
      <c r="E108" s="329" t="str">
        <f>"(Worksheet B, ln "&amp;'WS B ADIT &amp; ITC'!A31&amp;" &amp; ln "&amp;'WS B ADIT &amp; ITC'!A34&amp;".E)"</f>
        <v>(Worksheet B, ln 12 &amp; ln 15.E)</v>
      </c>
      <c r="F108" s="329"/>
      <c r="G108" s="333">
        <f>-'WS B ADIT &amp; ITC'!I31</f>
        <v>898</v>
      </c>
      <c r="H108" s="333"/>
      <c r="I108" s="330" t="s">
        <v>651</v>
      </c>
      <c r="J108" s="331"/>
      <c r="K108" s="329"/>
      <c r="L108" s="333">
        <f>-'WS B ADIT &amp; ITC'!I34</f>
        <v>898</v>
      </c>
      <c r="M108" s="16"/>
      <c r="N108" s="3"/>
      <c r="O108" s="3"/>
    </row>
    <row r="109" spans="1:15" ht="15">
      <c r="A109" s="318"/>
      <c r="B109" s="320">
        <f t="shared" si="4"/>
        <v>63</v>
      </c>
      <c r="C109" s="390"/>
      <c r="D109" s="396" t="s">
        <v>729</v>
      </c>
      <c r="E109" s="329" t="str">
        <f>"(Worksheet B, ln "&amp;'WS B ADIT &amp; ITC'!A39&amp;" &amp; ln "&amp;'WS B ADIT &amp; ITC'!A42&amp;".E)"</f>
        <v>(Worksheet B, ln 17 &amp; ln 20.E)</v>
      </c>
      <c r="F109" s="329"/>
      <c r="G109" s="333">
        <f>'WS B ADIT &amp; ITC'!I39</f>
        <v>2957</v>
      </c>
      <c r="H109" s="333"/>
      <c r="I109" s="330" t="s">
        <v>651</v>
      </c>
      <c r="J109" s="331"/>
      <c r="K109" s="329"/>
      <c r="L109" s="333">
        <f>'WS B ADIT &amp; ITC'!I42</f>
        <v>2922</v>
      </c>
      <c r="M109" s="16"/>
      <c r="N109" s="3"/>
      <c r="O109" s="3"/>
    </row>
    <row r="110" spans="1:15" ht="15.75" thickBot="1">
      <c r="A110" s="318"/>
      <c r="B110" s="320">
        <f t="shared" si="4"/>
        <v>64</v>
      </c>
      <c r="C110" s="390"/>
      <c r="D110" s="417" t="s">
        <v>655</v>
      </c>
      <c r="E110" s="329" t="str">
        <f>"(Worksheet B, ln "&amp;'WS B ADIT &amp; ITC'!A49&amp;" &amp; ln "&amp;'WS B ADIT &amp; ITC'!A50&amp;".E)"</f>
        <v>(Worksheet B, ln 24 &amp; ln 25.E)</v>
      </c>
      <c r="F110" s="376"/>
      <c r="G110" s="399">
        <f>-'WS B ADIT &amp; ITC'!I49</f>
        <v>0</v>
      </c>
      <c r="H110" s="333"/>
      <c r="I110" s="330" t="s">
        <v>651</v>
      </c>
      <c r="J110" s="331"/>
      <c r="K110" s="329"/>
      <c r="L110" s="399">
        <f>-'WS B ADIT &amp; ITC'!I50</f>
        <v>0</v>
      </c>
      <c r="M110" s="23"/>
      <c r="N110" s="3"/>
      <c r="O110" s="3"/>
    </row>
    <row r="111" spans="1:14" ht="15">
      <c r="A111" s="318"/>
      <c r="B111" s="320">
        <f t="shared" si="4"/>
        <v>65</v>
      </c>
      <c r="C111" s="390"/>
      <c r="D111" s="398" t="s">
        <v>614</v>
      </c>
      <c r="E111" s="398" t="str">
        <f>"(sum lns "&amp;B106&amp;" to "&amp;B110&amp;")"</f>
        <v>(sum lns 60 to 64)</v>
      </c>
      <c r="F111" s="329"/>
      <c r="G111" s="333">
        <f>SUM(G106:G110)</f>
        <v>34598.495</v>
      </c>
      <c r="H111" s="418"/>
      <c r="I111" s="330"/>
      <c r="J111" s="373"/>
      <c r="K111" s="329"/>
      <c r="L111" s="333">
        <f>SUM(L106:L110)</f>
        <v>18060.48410502283</v>
      </c>
      <c r="M111" s="16"/>
      <c r="N111" s="24"/>
    </row>
    <row r="112" spans="1:13" ht="15">
      <c r="A112" s="318"/>
      <c r="B112" s="320"/>
      <c r="C112" s="337"/>
      <c r="D112" s="398"/>
      <c r="E112" s="329"/>
      <c r="F112" s="329"/>
      <c r="G112" s="333"/>
      <c r="H112" s="418"/>
      <c r="I112" s="330"/>
      <c r="J112" s="411"/>
      <c r="K112" s="329"/>
      <c r="L112" s="333"/>
      <c r="M112" s="16"/>
    </row>
    <row r="113" spans="1:13" ht="15">
      <c r="A113" s="318"/>
      <c r="B113" s="320">
        <f>+B111+1</f>
        <v>66</v>
      </c>
      <c r="C113" s="337"/>
      <c r="D113" s="398" t="s">
        <v>741</v>
      </c>
      <c r="E113" s="329" t="str">
        <f>"(Worksheet A ln "&amp;'WS A  - RB Support '!A79&amp;".E &amp; ln "&amp;'WS A  - RB Support '!A81&amp;".E)"</f>
        <v>(Worksheet A ln 29.E &amp; ln 30.E)</v>
      </c>
      <c r="F113" s="329"/>
      <c r="G113" s="333">
        <f>'WS A  - RB Support '!G79</f>
        <v>0</v>
      </c>
      <c r="H113" s="418"/>
      <c r="I113" s="330" t="s">
        <v>651</v>
      </c>
      <c r="J113" s="331"/>
      <c r="K113" s="329"/>
      <c r="L113" s="333">
        <f>'WS A  - RB Support '!G81</f>
        <v>0</v>
      </c>
      <c r="M113" s="16"/>
    </row>
    <row r="114" spans="1:13" ht="15">
      <c r="A114" s="318"/>
      <c r="B114" s="320"/>
      <c r="C114" s="337"/>
      <c r="D114" s="398"/>
      <c r="E114" s="329"/>
      <c r="F114" s="329"/>
      <c r="G114" s="333"/>
      <c r="H114" s="418"/>
      <c r="I114" s="330"/>
      <c r="J114" s="331"/>
      <c r="K114" s="329"/>
      <c r="L114" s="333"/>
      <c r="M114" s="16"/>
    </row>
    <row r="115" spans="1:14" ht="15">
      <c r="A115" s="318"/>
      <c r="B115" s="320">
        <f>+B113+1</f>
        <v>67</v>
      </c>
      <c r="C115" s="326"/>
      <c r="D115" s="396" t="s">
        <v>174</v>
      </c>
      <c r="E115" s="329" t="str">
        <f>"(Worksheet A ln "&amp;'WS A  - RB Support '!A95&amp;". "&amp;'WS A  - RB Support '!G6&amp;")"</f>
        <v>(Worksheet A ln 41. (E))</v>
      </c>
      <c r="F115" s="329"/>
      <c r="G115" s="333">
        <f>'WS A  - RB Support '!G95</f>
        <v>0</v>
      </c>
      <c r="H115" s="418"/>
      <c r="I115" s="330" t="s">
        <v>651</v>
      </c>
      <c r="J115" s="329"/>
      <c r="K115" s="329"/>
      <c r="L115" s="333">
        <f>+G115</f>
        <v>0</v>
      </c>
      <c r="M115" s="18"/>
      <c r="N115" s="27"/>
    </row>
    <row r="116" spans="1:13" ht="15">
      <c r="A116" s="318"/>
      <c r="B116" s="320"/>
      <c r="C116" s="337"/>
      <c r="D116" s="398"/>
      <c r="E116" s="329"/>
      <c r="F116" s="329"/>
      <c r="G116" s="333"/>
      <c r="H116" s="418"/>
      <c r="I116" s="330"/>
      <c r="J116" s="329"/>
      <c r="K116" s="329"/>
      <c r="L116" s="333"/>
      <c r="M116" s="16"/>
    </row>
    <row r="117" spans="1:13" ht="15">
      <c r="A117" s="318"/>
      <c r="B117" s="320">
        <f>+B115+1</f>
        <v>68</v>
      </c>
      <c r="C117" s="337"/>
      <c r="D117" s="398" t="s">
        <v>615</v>
      </c>
      <c r="E117" s="329" t="s">
        <v>430</v>
      </c>
      <c r="F117" s="329"/>
      <c r="G117" s="333"/>
      <c r="H117" s="418"/>
      <c r="I117" s="330"/>
      <c r="J117" s="329"/>
      <c r="K117" s="329"/>
      <c r="L117" s="333"/>
      <c r="M117" s="16"/>
    </row>
    <row r="118" spans="1:13" ht="15">
      <c r="A118" s="318"/>
      <c r="B118" s="320">
        <f aca="true" t="shared" si="5" ref="B118:B126">+B117+1</f>
        <v>69</v>
      </c>
      <c r="C118" s="390"/>
      <c r="D118" s="398" t="s">
        <v>740</v>
      </c>
      <c r="E118" s="376" t="str">
        <f>"(1/8 * ln "&amp;B154&amp;")"</f>
        <v>(1/8 * ln 89)</v>
      </c>
      <c r="F118" s="376"/>
      <c r="G118" s="333">
        <f>+G154/8</f>
        <v>124.75</v>
      </c>
      <c r="H118" s="329"/>
      <c r="I118" s="330"/>
      <c r="J118" s="411"/>
      <c r="K118" s="329"/>
      <c r="L118" s="333">
        <f>+L154/8</f>
        <v>124.75</v>
      </c>
      <c r="M118" s="15"/>
    </row>
    <row r="119" spans="1:13" ht="15">
      <c r="A119" s="318"/>
      <c r="B119" s="320">
        <f t="shared" si="5"/>
        <v>70</v>
      </c>
      <c r="C119" s="408"/>
      <c r="D119" s="398" t="s">
        <v>181</v>
      </c>
      <c r="E119" s="329" t="str">
        <f>"(Worksheet C, ln "&amp;'WS C  - Working Capital'!A15&amp;".(F))"</f>
        <v>(Worksheet C, ln 2.(F))</v>
      </c>
      <c r="F119" s="329"/>
      <c r="G119" s="333">
        <f>'WS C  - Working Capital'!I15</f>
        <v>0</v>
      </c>
      <c r="H119" s="339"/>
      <c r="I119" s="364" t="s">
        <v>643</v>
      </c>
      <c r="J119" s="331">
        <f>J154</f>
        <v>1</v>
      </c>
      <c r="K119" s="349"/>
      <c r="L119" s="413">
        <f>+J119*G119</f>
        <v>0</v>
      </c>
      <c r="M119" s="18"/>
    </row>
    <row r="120" spans="1:13" ht="15">
      <c r="A120" s="318"/>
      <c r="B120" s="320">
        <f t="shared" si="5"/>
        <v>71</v>
      </c>
      <c r="C120" s="408"/>
      <c r="D120" s="398" t="s">
        <v>182</v>
      </c>
      <c r="E120" s="329" t="str">
        <f>"(Worksheet C, ln "&amp;'WS C  - Working Capital'!A17&amp;".(F))"</f>
        <v>(Worksheet C, ln 3.(F))</v>
      </c>
      <c r="F120" s="329"/>
      <c r="G120" s="333">
        <f>'WS C  - Working Capital'!I17</f>
        <v>0</v>
      </c>
      <c r="H120" s="339"/>
      <c r="I120" s="364" t="s">
        <v>653</v>
      </c>
      <c r="J120" s="331">
        <f>L244</f>
        <v>0.9723337795626952</v>
      </c>
      <c r="K120" s="349"/>
      <c r="L120" s="413">
        <f>+J120*G120</f>
        <v>0</v>
      </c>
      <c r="M120" s="18"/>
    </row>
    <row r="121" spans="1:13" ht="15">
      <c r="A121" s="318"/>
      <c r="B121" s="320">
        <f t="shared" si="5"/>
        <v>72</v>
      </c>
      <c r="C121" s="408"/>
      <c r="D121" s="398" t="s">
        <v>483</v>
      </c>
      <c r="E121" s="329" t="str">
        <f>"(Worksheet C, ln "&amp;'WS C  - Working Capital'!A19&amp;".(F))"</f>
        <v>(Worksheet C, ln 4.(F))</v>
      </c>
      <c r="F121" s="329"/>
      <c r="G121" s="333">
        <f>'WS C  - Working Capital'!I19</f>
        <v>0</v>
      </c>
      <c r="H121" s="339"/>
      <c r="I121" s="364" t="s">
        <v>183</v>
      </c>
      <c r="J121" s="331">
        <f>J72</f>
        <v>0.9828494827763624</v>
      </c>
      <c r="K121" s="349"/>
      <c r="L121" s="413">
        <f>+J121*G121</f>
        <v>0</v>
      </c>
      <c r="M121" s="18"/>
    </row>
    <row r="122" spans="1:13" ht="15">
      <c r="A122" s="318"/>
      <c r="B122" s="320">
        <f t="shared" si="5"/>
        <v>73</v>
      </c>
      <c r="C122" s="408"/>
      <c r="D122" s="396" t="s">
        <v>755</v>
      </c>
      <c r="E122" s="329" t="str">
        <f>"(Worksheet C, ln "&amp;'WS C  - Working Capital'!A29&amp;".(G))"</f>
        <v>(Worksheet C, ln 8.(G))</v>
      </c>
      <c r="F122" s="329"/>
      <c r="G122" s="333">
        <f>'WS C  - Working Capital'!J29</f>
        <v>0</v>
      </c>
      <c r="H122" s="418"/>
      <c r="I122" s="330" t="s">
        <v>653</v>
      </c>
      <c r="J122" s="331">
        <f>L244</f>
        <v>0.9723337795626952</v>
      </c>
      <c r="K122" s="329"/>
      <c r="L122" s="333">
        <f>+J122*G122</f>
        <v>0</v>
      </c>
      <c r="M122" s="18"/>
    </row>
    <row r="123" spans="1:13" ht="15">
      <c r="A123" s="318"/>
      <c r="B123" s="320">
        <f t="shared" si="5"/>
        <v>74</v>
      </c>
      <c r="C123" s="390"/>
      <c r="D123" s="398" t="s">
        <v>756</v>
      </c>
      <c r="E123" s="329" t="str">
        <f>"(Worksheet C, ln "&amp;'WS C  - Working Capital'!A29&amp;".(F))"</f>
        <v>(Worksheet C, ln 8.(F))</v>
      </c>
      <c r="F123" s="329"/>
      <c r="G123" s="333">
        <f>'WS C  - Working Capital'!I29</f>
        <v>0</v>
      </c>
      <c r="H123" s="418"/>
      <c r="I123" s="330" t="s">
        <v>183</v>
      </c>
      <c r="J123" s="331">
        <f>J72</f>
        <v>0.9828494827763624</v>
      </c>
      <c r="K123" s="329"/>
      <c r="L123" s="333">
        <f>+G123*J123</f>
        <v>0</v>
      </c>
      <c r="M123" s="18"/>
    </row>
    <row r="124" spans="1:13" ht="15">
      <c r="A124" s="318"/>
      <c r="B124" s="320">
        <f t="shared" si="5"/>
        <v>75</v>
      </c>
      <c r="C124" s="390"/>
      <c r="D124" s="398" t="s">
        <v>153</v>
      </c>
      <c r="E124" s="329" t="str">
        <f>"(Worksheet C, ln "&amp;'WS C  - Working Capital'!A29&amp;".(E))"</f>
        <v>(Worksheet C, ln 8.(E))</v>
      </c>
      <c r="F124" s="329"/>
      <c r="G124" s="333">
        <f>'WS C  - Working Capital'!G29</f>
        <v>0</v>
      </c>
      <c r="H124" s="418"/>
      <c r="I124" s="330" t="s">
        <v>651</v>
      </c>
      <c r="J124" s="331">
        <v>1</v>
      </c>
      <c r="K124" s="329"/>
      <c r="L124" s="333">
        <f>+G124</f>
        <v>0</v>
      </c>
      <c r="M124" s="18"/>
    </row>
    <row r="125" spans="1:13" ht="15.75" thickBot="1">
      <c r="A125" s="318"/>
      <c r="B125" s="320">
        <f t="shared" si="5"/>
        <v>76</v>
      </c>
      <c r="C125" s="390"/>
      <c r="D125" s="398" t="s">
        <v>627</v>
      </c>
      <c r="E125" s="329" t="str">
        <f>"(Worksheet C, ln "&amp;'WS C  - Working Capital'!A29&amp;".(D))"</f>
        <v>(Worksheet C, ln 8.(D))</v>
      </c>
      <c r="F125" s="329"/>
      <c r="G125" s="399">
        <f>'WS C  - Working Capital'!E29</f>
        <v>0</v>
      </c>
      <c r="H125" s="333"/>
      <c r="I125" s="330" t="s">
        <v>649</v>
      </c>
      <c r="J125" s="331">
        <v>0</v>
      </c>
      <c r="K125" s="329"/>
      <c r="L125" s="399">
        <f>+G125*J125</f>
        <v>0</v>
      </c>
      <c r="M125" s="18"/>
    </row>
    <row r="126" spans="1:13" ht="15">
      <c r="A126" s="318"/>
      <c r="B126" s="320">
        <f t="shared" si="5"/>
        <v>77</v>
      </c>
      <c r="C126" s="390"/>
      <c r="D126" s="398" t="s">
        <v>599</v>
      </c>
      <c r="E126" s="398" t="str">
        <f>"(sum lns "&amp;B118&amp;" to "&amp;B125&amp;")"</f>
        <v>(sum lns 69 to 76)</v>
      </c>
      <c r="F126" s="322"/>
      <c r="G126" s="333">
        <f>SUM(G118:G125)</f>
        <v>124.75</v>
      </c>
      <c r="H126" s="322"/>
      <c r="I126" s="326"/>
      <c r="J126" s="322"/>
      <c r="K126" s="322"/>
      <c r="L126" s="333">
        <f>SUM(L118:L125)</f>
        <v>124.75</v>
      </c>
      <c r="M126" s="15"/>
    </row>
    <row r="127" spans="1:13" ht="15">
      <c r="A127" s="318"/>
      <c r="B127" s="320"/>
      <c r="C127" s="337"/>
      <c r="D127" s="398"/>
      <c r="E127" s="323"/>
      <c r="F127" s="323"/>
      <c r="G127" s="413"/>
      <c r="H127" s="323"/>
      <c r="I127" s="337"/>
      <c r="J127" s="323"/>
      <c r="K127" s="323"/>
      <c r="L127" s="413"/>
      <c r="M127" s="15"/>
    </row>
    <row r="128" spans="1:13" ht="15">
      <c r="A128" s="318"/>
      <c r="B128" s="320">
        <f>+B126+1</f>
        <v>78</v>
      </c>
      <c r="C128" s="337"/>
      <c r="D128" s="396" t="s">
        <v>585</v>
      </c>
      <c r="E128" s="340" t="str">
        <f>"(Note F) (Worksheet D, ln "&amp;'WS D IPP Credits'!A21&amp;".B)"</f>
        <v>(Note F) (Worksheet D, ln 8.B)</v>
      </c>
      <c r="F128" s="323"/>
      <c r="G128" s="413">
        <f>+'WS D IPP Credits'!C19</f>
        <v>0</v>
      </c>
      <c r="H128" s="323"/>
      <c r="I128" s="419" t="s">
        <v>651</v>
      </c>
      <c r="J128" s="331">
        <v>1</v>
      </c>
      <c r="K128" s="349"/>
      <c r="L128" s="413">
        <f>+J128*G128</f>
        <v>0</v>
      </c>
      <c r="M128" s="15"/>
    </row>
    <row r="129" spans="1:13" ht="15.75" thickBot="1">
      <c r="A129" s="318"/>
      <c r="B129" s="320"/>
      <c r="C129" s="318"/>
      <c r="D129" s="417"/>
      <c r="E129" s="349"/>
      <c r="F129" s="349"/>
      <c r="G129" s="420"/>
      <c r="H129" s="349"/>
      <c r="I129" s="364"/>
      <c r="J129" s="349"/>
      <c r="K129" s="349"/>
      <c r="L129" s="420"/>
      <c r="M129" s="16"/>
    </row>
    <row r="130" spans="1:13" ht="15.75" thickBot="1">
      <c r="A130" s="318"/>
      <c r="B130" s="320">
        <f>+B128+1</f>
        <v>79</v>
      </c>
      <c r="C130" s="337"/>
      <c r="D130" s="340" t="str">
        <f>"RATE BASE  (sum lns "&amp;B102&amp;", "&amp;B111&amp;", "&amp;B113&amp;", "&amp;B115&amp;", "&amp;B126&amp;", "&amp;B128&amp;")"</f>
        <v>RATE BASE  (sum lns 58, 65, 66, 67, 77, 78)</v>
      </c>
      <c r="E130" s="349"/>
      <c r="F130" s="349"/>
      <c r="G130" s="421">
        <f>+G126+G113+G111+G102+G128+G115</f>
        <v>90670.745</v>
      </c>
      <c r="H130" s="349"/>
      <c r="I130" s="349"/>
      <c r="J130" s="422"/>
      <c r="K130" s="349"/>
      <c r="L130" s="421">
        <f>+L126+L113+L111+L102+L128+L115</f>
        <v>73223.9264298778</v>
      </c>
      <c r="M130" s="16"/>
    </row>
    <row r="131" spans="1:13" ht="16.5" thickTop="1">
      <c r="A131" s="318"/>
      <c r="B131" s="320"/>
      <c r="C131" s="339"/>
      <c r="D131" s="339"/>
      <c r="E131" s="339"/>
      <c r="F131" s="339"/>
      <c r="G131" s="339"/>
      <c r="H131" s="339"/>
      <c r="I131" s="346"/>
      <c r="J131" s="346"/>
      <c r="K131" s="346"/>
      <c r="L131" s="376"/>
      <c r="M131" s="11"/>
    </row>
    <row r="132" spans="1:13" ht="15">
      <c r="A132" s="318"/>
      <c r="B132" s="423"/>
      <c r="C132" s="337"/>
      <c r="D132" s="340"/>
      <c r="E132" s="349"/>
      <c r="F132" s="349"/>
      <c r="G132" s="349"/>
      <c r="H132" s="349"/>
      <c r="I132" s="349"/>
      <c r="J132" s="349"/>
      <c r="K132" s="349"/>
      <c r="L132" s="349"/>
      <c r="M132" s="16"/>
    </row>
    <row r="133" spans="1:13" ht="15">
      <c r="A133" s="318"/>
      <c r="B133" s="423"/>
      <c r="C133" s="337"/>
      <c r="D133" s="340"/>
      <c r="E133" s="349"/>
      <c r="F133" s="364" t="str">
        <f>F49</f>
        <v>AEPTCo subsidiaries in PJM</v>
      </c>
      <c r="G133" s="364"/>
      <c r="H133" s="349"/>
      <c r="I133" s="349"/>
      <c r="J133" s="349"/>
      <c r="K133" s="349"/>
      <c r="L133" s="349"/>
      <c r="M133" s="28"/>
    </row>
    <row r="134" spans="1:13" ht="15">
      <c r="A134" s="318"/>
      <c r="B134" s="423"/>
      <c r="C134" s="337"/>
      <c r="D134" s="340"/>
      <c r="E134" s="349"/>
      <c r="F134" s="364" t="str">
        <f>F50</f>
        <v>Transmission Cost of Service Formula Rate</v>
      </c>
      <c r="G134" s="364"/>
      <c r="H134" s="349"/>
      <c r="I134" s="349"/>
      <c r="J134" s="349"/>
      <c r="K134" s="349"/>
      <c r="L134" s="349"/>
      <c r="M134" s="28"/>
    </row>
    <row r="135" spans="1:13" ht="15">
      <c r="A135" s="318"/>
      <c r="B135" s="423"/>
      <c r="C135" s="337"/>
      <c r="D135" s="318"/>
      <c r="E135" s="349"/>
      <c r="F135" s="364" t="str">
        <f>F51</f>
        <v>Utilizing  Actual/Projected FERC Form 1 Data</v>
      </c>
      <c r="G135" s="349"/>
      <c r="H135" s="349"/>
      <c r="I135" s="349"/>
      <c r="J135" s="349"/>
      <c r="K135" s="349"/>
      <c r="L135" s="349"/>
      <c r="M135" s="51"/>
    </row>
    <row r="136" spans="1:13" ht="15">
      <c r="A136" s="318"/>
      <c r="B136" s="423"/>
      <c r="C136" s="337"/>
      <c r="D136" s="318"/>
      <c r="E136" s="349"/>
      <c r="F136" s="364"/>
      <c r="G136" s="349"/>
      <c r="H136" s="349"/>
      <c r="I136" s="349"/>
      <c r="J136" s="349"/>
      <c r="K136" s="349"/>
      <c r="L136" s="349"/>
      <c r="M136" s="16"/>
    </row>
    <row r="137" spans="1:13" ht="15">
      <c r="A137" s="318"/>
      <c r="B137" s="423"/>
      <c r="C137" s="337"/>
      <c r="D137" s="318"/>
      <c r="E137" s="424"/>
      <c r="F137" s="364" t="str">
        <f>F53</f>
        <v>AEP APPALACHIAN TRANSMISSION COMPANY</v>
      </c>
      <c r="G137" s="424"/>
      <c r="H137" s="425"/>
      <c r="I137" s="424"/>
      <c r="J137" s="424"/>
      <c r="K137" s="424"/>
      <c r="L137" s="318"/>
      <c r="M137" s="16"/>
    </row>
    <row r="138" spans="1:13" ht="15">
      <c r="A138" s="318"/>
      <c r="B138" s="423"/>
      <c r="C138" s="337"/>
      <c r="D138" s="318"/>
      <c r="E138" s="424"/>
      <c r="F138" s="364"/>
      <c r="G138" s="424"/>
      <c r="H138" s="425"/>
      <c r="I138" s="424"/>
      <c r="J138" s="424"/>
      <c r="K138" s="424"/>
      <c r="L138" s="318"/>
      <c r="M138" s="16"/>
    </row>
    <row r="139" spans="1:14" ht="15">
      <c r="A139" s="318"/>
      <c r="B139" s="423"/>
      <c r="C139" s="318"/>
      <c r="D139" s="337" t="s">
        <v>644</v>
      </c>
      <c r="E139" s="337" t="s">
        <v>645</v>
      </c>
      <c r="F139" s="337"/>
      <c r="G139" s="337" t="s">
        <v>646</v>
      </c>
      <c r="H139" s="329"/>
      <c r="I139" s="1221" t="s">
        <v>647</v>
      </c>
      <c r="J139" s="1225"/>
      <c r="K139" s="349"/>
      <c r="L139" s="351" t="s">
        <v>648</v>
      </c>
      <c r="M139" s="16"/>
      <c r="N139" s="2"/>
    </row>
    <row r="140" spans="1:15" ht="15.75">
      <c r="A140" s="318"/>
      <c r="B140" s="423"/>
      <c r="C140" s="318"/>
      <c r="D140" s="337"/>
      <c r="E140" s="337"/>
      <c r="F140" s="337"/>
      <c r="G140" s="337"/>
      <c r="H140" s="329"/>
      <c r="I140" s="349"/>
      <c r="J140" s="378"/>
      <c r="K140" s="349"/>
      <c r="L140" s="318"/>
      <c r="M140" s="16"/>
      <c r="N140" s="4"/>
      <c r="O140" s="25"/>
    </row>
    <row r="141" spans="1:15" ht="15.75">
      <c r="A141" s="318"/>
      <c r="B141" s="423"/>
      <c r="C141" s="337"/>
      <c r="D141" s="427" t="s">
        <v>623</v>
      </c>
      <c r="E141" s="380" t="str">
        <f>E57</f>
        <v>Data Sources</v>
      </c>
      <c r="F141" s="381"/>
      <c r="G141" s="349"/>
      <c r="H141" s="329"/>
      <c r="I141" s="349"/>
      <c r="J141" s="337"/>
      <c r="K141" s="349"/>
      <c r="L141" s="380" t="str">
        <f>L57</f>
        <v>Total</v>
      </c>
      <c r="M141" s="11"/>
      <c r="N141" s="4"/>
      <c r="O141" s="25"/>
    </row>
    <row r="142" spans="1:15" ht="15.75">
      <c r="A142" s="318"/>
      <c r="B142" s="423"/>
      <c r="C142" s="357"/>
      <c r="D142" s="383" t="s">
        <v>624</v>
      </c>
      <c r="E142" s="428" t="str">
        <f>E58</f>
        <v>(See "General Notes")</v>
      </c>
      <c r="F142" s="349"/>
      <c r="G142" s="428" t="str">
        <f>G58</f>
        <v>TO Total</v>
      </c>
      <c r="H142" s="429"/>
      <c r="I142" s="1223" t="str">
        <f>I58</f>
        <v>Allocator</v>
      </c>
      <c r="J142" s="1224"/>
      <c r="K142" s="385"/>
      <c r="L142" s="428" t="str">
        <f>L58</f>
        <v>Transmission</v>
      </c>
      <c r="M142" s="16"/>
      <c r="N142" s="4"/>
      <c r="O142" s="25"/>
    </row>
    <row r="143" spans="1:13" ht="15.75">
      <c r="A143" s="318"/>
      <c r="B143" s="320" t="str">
        <f>B59</f>
        <v>Line</v>
      </c>
      <c r="C143" s="318"/>
      <c r="D143" s="340"/>
      <c r="E143" s="349"/>
      <c r="F143" s="349"/>
      <c r="G143" s="383"/>
      <c r="H143" s="430"/>
      <c r="I143" s="427"/>
      <c r="J143" s="318"/>
      <c r="K143" s="431"/>
      <c r="L143" s="383"/>
      <c r="M143" s="16"/>
    </row>
    <row r="144" spans="1:13" ht="15">
      <c r="A144" s="318"/>
      <c r="B144" s="320" t="str">
        <f>B60</f>
        <v>No.</v>
      </c>
      <c r="C144" s="337"/>
      <c r="D144" s="340" t="s">
        <v>625</v>
      </c>
      <c r="E144" s="349"/>
      <c r="F144" s="349"/>
      <c r="G144" s="349"/>
      <c r="H144" s="329"/>
      <c r="I144" s="364"/>
      <c r="J144" s="349"/>
      <c r="K144" s="349"/>
      <c r="L144" s="349"/>
      <c r="M144" s="16"/>
    </row>
    <row r="145" spans="1:13" ht="15">
      <c r="A145" s="318"/>
      <c r="B145" s="320">
        <f>+B130+1</f>
        <v>80</v>
      </c>
      <c r="C145" s="337"/>
      <c r="D145" s="389" t="s">
        <v>471</v>
      </c>
      <c r="E145" s="329"/>
      <c r="F145" s="329"/>
      <c r="G145" s="333"/>
      <c r="H145" s="333"/>
      <c r="I145" s="330"/>
      <c r="J145" s="331"/>
      <c r="K145" s="329"/>
      <c r="L145" s="333"/>
      <c r="M145" s="16"/>
    </row>
    <row r="146" spans="1:13" ht="15">
      <c r="A146" s="318"/>
      <c r="B146" s="320">
        <f>+B145+1</f>
        <v>81</v>
      </c>
      <c r="C146" s="337"/>
      <c r="D146" s="389" t="s">
        <v>471</v>
      </c>
      <c r="E146" s="329"/>
      <c r="F146" s="329"/>
      <c r="G146" s="333"/>
      <c r="H146" s="333"/>
      <c r="I146" s="330"/>
      <c r="J146" s="331"/>
      <c r="K146" s="329"/>
      <c r="L146" s="333"/>
      <c r="M146" s="16"/>
    </row>
    <row r="147" spans="1:13" ht="15">
      <c r="A147" s="318"/>
      <c r="B147" s="320">
        <f aca="true" t="shared" si="6" ref="B147:B152">+B146+1</f>
        <v>82</v>
      </c>
      <c r="C147" s="337"/>
      <c r="D147" s="336" t="s">
        <v>88</v>
      </c>
      <c r="E147" s="349" t="s">
        <v>738</v>
      </c>
      <c r="F147" s="329"/>
      <c r="G147" s="300">
        <f>0+0+0</f>
        <v>0</v>
      </c>
      <c r="H147" s="329"/>
      <c r="I147" s="330"/>
      <c r="J147" s="331"/>
      <c r="K147" s="329"/>
      <c r="L147" s="333"/>
      <c r="M147" s="16"/>
    </row>
    <row r="148" spans="1:13" ht="15">
      <c r="A148" s="318"/>
      <c r="B148" s="320">
        <f t="shared" si="6"/>
        <v>83</v>
      </c>
      <c r="C148" s="337"/>
      <c r="D148" s="336" t="s">
        <v>89</v>
      </c>
      <c r="E148" s="349" t="s">
        <v>283</v>
      </c>
      <c r="F148" s="329"/>
      <c r="G148" s="300">
        <v>0</v>
      </c>
      <c r="H148" s="329"/>
      <c r="I148" s="330"/>
      <c r="J148" s="331"/>
      <c r="K148" s="329"/>
      <c r="L148" s="333"/>
      <c r="M148" s="16"/>
    </row>
    <row r="149" spans="1:15" ht="15.75" thickBot="1">
      <c r="A149" s="318"/>
      <c r="B149" s="320">
        <f t="shared" si="6"/>
        <v>84</v>
      </c>
      <c r="C149" s="337"/>
      <c r="D149" s="336" t="s">
        <v>656</v>
      </c>
      <c r="E149" s="349" t="s">
        <v>282</v>
      </c>
      <c r="F149" s="329"/>
      <c r="G149" s="298">
        <v>1084</v>
      </c>
      <c r="H149" s="432"/>
      <c r="I149" s="339"/>
      <c r="J149" s="339"/>
      <c r="K149" s="352"/>
      <c r="L149" s="352"/>
      <c r="M149" s="15"/>
      <c r="N149" s="3"/>
      <c r="O149" s="3"/>
    </row>
    <row r="150" spans="1:15" ht="15">
      <c r="A150" s="318"/>
      <c r="B150" s="320">
        <f t="shared" si="6"/>
        <v>85</v>
      </c>
      <c r="C150" s="337"/>
      <c r="D150" s="336" t="s">
        <v>90</v>
      </c>
      <c r="E150" s="329" t="str">
        <f>"(sum lns "&amp;B147&amp;"  to "&amp;B149&amp;")"</f>
        <v>(sum lns 82  to 84)</v>
      </c>
      <c r="F150" s="329"/>
      <c r="G150" s="333">
        <f>SUM(G145:G149)</f>
        <v>1084</v>
      </c>
      <c r="H150" s="333"/>
      <c r="I150" s="339"/>
      <c r="J150" s="339"/>
      <c r="K150" s="352"/>
      <c r="L150" s="352"/>
      <c r="M150" s="15"/>
      <c r="N150" s="3"/>
      <c r="O150" s="3"/>
    </row>
    <row r="151" spans="1:15" ht="15">
      <c r="A151" s="318"/>
      <c r="B151" s="320">
        <f t="shared" si="6"/>
        <v>86</v>
      </c>
      <c r="C151" s="337"/>
      <c r="D151" s="336" t="s">
        <v>175</v>
      </c>
      <c r="E151" s="329" t="str">
        <f>"(Note G) (Worksheet F, ln "&amp;'WS F Misc Exp'!A31&amp;".C)"</f>
        <v>(Note G) (Worksheet F, ln 14.C)</v>
      </c>
      <c r="F151" s="329"/>
      <c r="G151" s="333">
        <f>+'WS F Misc Exp'!D31</f>
        <v>86</v>
      </c>
      <c r="H151" s="333"/>
      <c r="I151" s="339"/>
      <c r="J151" s="339"/>
      <c r="K151" s="352"/>
      <c r="L151" s="352"/>
      <c r="M151" s="15"/>
      <c r="N151" s="3"/>
      <c r="O151" s="3"/>
    </row>
    <row r="152" spans="1:15" ht="15">
      <c r="A152" s="318"/>
      <c r="B152" s="320">
        <f t="shared" si="6"/>
        <v>87</v>
      </c>
      <c r="C152" s="337"/>
      <c r="D152" s="336" t="s">
        <v>579</v>
      </c>
      <c r="E152" s="329" t="s">
        <v>622</v>
      </c>
      <c r="F152" s="329"/>
      <c r="G152" s="302">
        <v>0</v>
      </c>
      <c r="H152" s="333"/>
      <c r="I152" s="339"/>
      <c r="J152" s="339"/>
      <c r="K152" s="352"/>
      <c r="L152" s="352"/>
      <c r="M152" s="15"/>
      <c r="N152" s="3"/>
      <c r="O152" s="3"/>
    </row>
    <row r="153" spans="1:15" ht="15.75" thickBot="1">
      <c r="A153" s="318"/>
      <c r="B153" s="320">
        <f>+B152+1</f>
        <v>88</v>
      </c>
      <c r="C153" s="326"/>
      <c r="D153" s="336" t="s">
        <v>179</v>
      </c>
      <c r="E153" s="329" t="str">
        <f>"(Note I) (Worksheet F, ln "&amp;'WS F Misc Exp'!A19&amp;".C)"</f>
        <v>(Note I) (Worksheet F, ln 4.C)</v>
      </c>
      <c r="F153" s="329"/>
      <c r="G153" s="399">
        <f>+'WS F Misc Exp'!D19</f>
        <v>0</v>
      </c>
      <c r="H153" s="333"/>
      <c r="I153" s="418"/>
      <c r="J153" s="418"/>
      <c r="K153" s="352"/>
      <c r="L153" s="352"/>
      <c r="M153" s="15"/>
      <c r="N153" s="3"/>
      <c r="O153" s="3"/>
    </row>
    <row r="154" spans="1:15" ht="15">
      <c r="A154" s="318"/>
      <c r="B154" s="320">
        <f>+B153+1</f>
        <v>89</v>
      </c>
      <c r="C154" s="337"/>
      <c r="D154" s="336" t="s">
        <v>279</v>
      </c>
      <c r="E154" s="349" t="str">
        <f>"(lns "&amp;B149&amp;" - "&amp;B151&amp;" - "&amp;B152&amp;" - "&amp;B153&amp;")"</f>
        <v>(lns 84 - 86 - 87 - 88)</v>
      </c>
      <c r="F154" s="336"/>
      <c r="G154" s="333">
        <f>G149-G151-G152-G153</f>
        <v>998</v>
      </c>
      <c r="H154" s="329"/>
      <c r="I154" s="364" t="s">
        <v>643</v>
      </c>
      <c r="J154" s="331">
        <f>L234</f>
        <v>1</v>
      </c>
      <c r="K154" s="329"/>
      <c r="L154" s="333">
        <f>+J154*G154</f>
        <v>998</v>
      </c>
      <c r="M154" s="17"/>
      <c r="N154" s="3"/>
      <c r="O154" s="3"/>
    </row>
    <row r="155" spans="1:15" ht="15">
      <c r="A155" s="318"/>
      <c r="B155" s="320"/>
      <c r="C155" s="337"/>
      <c r="D155" s="336"/>
      <c r="E155" s="329"/>
      <c r="F155" s="329"/>
      <c r="G155" s="433"/>
      <c r="H155" s="333"/>
      <c r="I155" s="339"/>
      <c r="J155" s="339"/>
      <c r="K155" s="352"/>
      <c r="L155" s="352"/>
      <c r="M155" s="15"/>
      <c r="N155" s="3"/>
      <c r="O155" s="3"/>
    </row>
    <row r="156" spans="1:15" ht="15">
      <c r="A156" s="318"/>
      <c r="B156" s="320">
        <f>+B154+1</f>
        <v>90</v>
      </c>
      <c r="C156" s="337"/>
      <c r="D156" s="340" t="s">
        <v>626</v>
      </c>
      <c r="E156" s="349" t="s">
        <v>406</v>
      </c>
      <c r="F156" s="349"/>
      <c r="G156" s="302">
        <v>77928</v>
      </c>
      <c r="H156" s="432" t="s">
        <v>637</v>
      </c>
      <c r="I156" s="414"/>
      <c r="J156" s="414"/>
      <c r="K156" s="349"/>
      <c r="L156" s="413"/>
      <c r="M156" s="16"/>
      <c r="N156" s="3"/>
      <c r="O156" s="3"/>
    </row>
    <row r="157" spans="1:15" ht="15">
      <c r="A157" s="318"/>
      <c r="B157" s="320">
        <f aca="true" t="shared" si="7" ref="B157:B163">+B156+1</f>
        <v>91</v>
      </c>
      <c r="C157" s="337"/>
      <c r="D157" s="336" t="s">
        <v>177</v>
      </c>
      <c r="E157" s="349" t="s">
        <v>284</v>
      </c>
      <c r="F157" s="349"/>
      <c r="G157" s="302">
        <v>0</v>
      </c>
      <c r="H157" s="333"/>
      <c r="I157" s="414"/>
      <c r="J157" s="340"/>
      <c r="K157" s="349"/>
      <c r="L157" s="413"/>
      <c r="M157"/>
      <c r="N157" s="3"/>
      <c r="O157" s="3"/>
    </row>
    <row r="158" spans="1:15" ht="15">
      <c r="A158" s="318"/>
      <c r="B158" s="320">
        <f t="shared" si="7"/>
        <v>92</v>
      </c>
      <c r="C158" s="337"/>
      <c r="D158" s="340" t="s">
        <v>176</v>
      </c>
      <c r="E158" s="349" t="s">
        <v>618</v>
      </c>
      <c r="F158" s="329"/>
      <c r="G158" s="302">
        <v>0</v>
      </c>
      <c r="H158" s="333"/>
      <c r="I158" s="414"/>
      <c r="J158" s="434"/>
      <c r="K158" s="349"/>
      <c r="L158" s="413"/>
      <c r="M158" s="16"/>
      <c r="N158" s="3"/>
      <c r="O158" s="3"/>
    </row>
    <row r="159" spans="1:15" ht="15">
      <c r="A159" s="318"/>
      <c r="B159" s="320">
        <f t="shared" si="7"/>
        <v>93</v>
      </c>
      <c r="C159" s="337"/>
      <c r="D159" s="336" t="s">
        <v>630</v>
      </c>
      <c r="E159" s="349" t="s">
        <v>619</v>
      </c>
      <c r="F159" s="329"/>
      <c r="G159" s="302">
        <v>0</v>
      </c>
      <c r="H159" s="333"/>
      <c r="I159" s="414"/>
      <c r="J159" s="414"/>
      <c r="K159" s="349"/>
      <c r="L159" s="413"/>
      <c r="M159" s="16"/>
      <c r="N159" s="3"/>
      <c r="O159" s="3"/>
    </row>
    <row r="160" spans="1:15" ht="15.75" thickBot="1">
      <c r="A160" s="318"/>
      <c r="B160" s="320">
        <f t="shared" si="7"/>
        <v>94</v>
      </c>
      <c r="C160" s="337"/>
      <c r="D160" s="336" t="s">
        <v>178</v>
      </c>
      <c r="E160" s="349" t="s">
        <v>620</v>
      </c>
      <c r="F160" s="329"/>
      <c r="G160" s="298">
        <v>5</v>
      </c>
      <c r="H160" s="333"/>
      <c r="I160" s="414"/>
      <c r="J160" s="414"/>
      <c r="K160" s="349"/>
      <c r="L160" s="413"/>
      <c r="M160" s="16"/>
      <c r="N160" s="3"/>
      <c r="O160" s="3"/>
    </row>
    <row r="161" spans="1:15" ht="15">
      <c r="A161" s="318"/>
      <c r="B161" s="320">
        <f>+B160+1</f>
        <v>95</v>
      </c>
      <c r="C161" s="337"/>
      <c r="D161" s="340" t="s">
        <v>631</v>
      </c>
      <c r="E161" s="329" t="str">
        <f>"(ln "&amp;B156&amp;" - sum ln "&amp;B157&amp;"  to ln "&amp;B160&amp;")"</f>
        <v>(ln 90 - sum ln 91  to ln 94)</v>
      </c>
      <c r="F161" s="329"/>
      <c r="G161" s="333">
        <f>G156-SUM(G157:G160)</f>
        <v>77923</v>
      </c>
      <c r="H161" s="333"/>
      <c r="I161" s="364" t="s">
        <v>653</v>
      </c>
      <c r="J161" s="331">
        <f>L244</f>
        <v>0.9723337795626952</v>
      </c>
      <c r="K161" s="349"/>
      <c r="L161" s="413">
        <f>+J161*G161</f>
        <v>75767.1651048639</v>
      </c>
      <c r="M161" s="16"/>
      <c r="N161" s="3"/>
      <c r="O161" s="3"/>
    </row>
    <row r="162" spans="1:15" ht="15">
      <c r="A162" s="318"/>
      <c r="B162" s="320">
        <f t="shared" si="7"/>
        <v>96</v>
      </c>
      <c r="C162" s="326"/>
      <c r="D162" s="336" t="s">
        <v>730</v>
      </c>
      <c r="E162" s="329" t="str">
        <f>"(ln "&amp;B157&amp;")"</f>
        <v>(ln 91)</v>
      </c>
      <c r="F162" s="329"/>
      <c r="G162" s="333">
        <f>+G157</f>
        <v>0</v>
      </c>
      <c r="H162" s="333"/>
      <c r="I162" s="435" t="s">
        <v>183</v>
      </c>
      <c r="J162" s="331">
        <f>J72</f>
        <v>0.9828494827763624</v>
      </c>
      <c r="K162" s="329"/>
      <c r="L162" s="333">
        <f>+J162*G162</f>
        <v>0</v>
      </c>
      <c r="M162" s="16"/>
      <c r="N162" s="3"/>
      <c r="O162" s="3"/>
    </row>
    <row r="163" spans="1:15" ht="15">
      <c r="A163" s="318"/>
      <c r="B163" s="320">
        <f t="shared" si="7"/>
        <v>97</v>
      </c>
      <c r="C163" s="337"/>
      <c r="D163" s="336" t="s">
        <v>1</v>
      </c>
      <c r="E163" s="329" t="str">
        <f>"Worksheet F ln "&amp;'WS F Misc Exp'!A42&amp;".(E) (Note L)"</f>
        <v>Worksheet F ln 21.(E) (Note L)</v>
      </c>
      <c r="F163" s="329"/>
      <c r="G163" s="333">
        <f>+'WS F Misc Exp'!F42</f>
        <v>0</v>
      </c>
      <c r="H163" s="333"/>
      <c r="I163" s="364" t="s">
        <v>643</v>
      </c>
      <c r="J163" s="331">
        <f>L234</f>
        <v>1</v>
      </c>
      <c r="K163" s="349"/>
      <c r="L163" s="413">
        <f>J163*G163</f>
        <v>0</v>
      </c>
      <c r="M163" s="16"/>
      <c r="N163" s="3"/>
      <c r="O163" s="3"/>
    </row>
    <row r="164" spans="1:15" ht="15">
      <c r="A164" s="318"/>
      <c r="B164" s="320">
        <f>B163+1</f>
        <v>98</v>
      </c>
      <c r="C164" s="337"/>
      <c r="D164" s="336" t="s">
        <v>80</v>
      </c>
      <c r="E164" s="329" t="str">
        <f>"Worksheet F ln "&amp;'WS F Misc Exp'!A62&amp;".(E) (Note L)"</f>
        <v>Worksheet F ln 38.(E) (Note L)</v>
      </c>
      <c r="F164" s="329"/>
      <c r="G164" s="362">
        <f>+'WS F Misc Exp'!F62</f>
        <v>0</v>
      </c>
      <c r="H164" s="329"/>
      <c r="I164" s="330" t="s">
        <v>643</v>
      </c>
      <c r="J164" s="331">
        <f>L234</f>
        <v>1</v>
      </c>
      <c r="K164" s="349"/>
      <c r="L164" s="413">
        <f>+J164*G164</f>
        <v>0</v>
      </c>
      <c r="M164" s="16"/>
      <c r="N164" s="3"/>
      <c r="O164" s="3"/>
    </row>
    <row r="165" spans="1:15" ht="15">
      <c r="A165" s="318"/>
      <c r="B165" s="320">
        <f>+B164+1</f>
        <v>99</v>
      </c>
      <c r="C165" s="337"/>
      <c r="D165" s="336" t="s">
        <v>82</v>
      </c>
      <c r="E165" s="329" t="str">
        <f>"Worksheet F ln "&amp;'WS F Misc Exp'!A70&amp;".(E) (Note L)"</f>
        <v>Worksheet F ln 43.(E) (Note L)</v>
      </c>
      <c r="F165" s="329"/>
      <c r="G165" s="362">
        <f>+'WS F Misc Exp'!F70</f>
        <v>0</v>
      </c>
      <c r="H165" s="436"/>
      <c r="I165" s="330" t="s">
        <v>651</v>
      </c>
      <c r="J165" s="331">
        <v>1</v>
      </c>
      <c r="K165" s="349"/>
      <c r="L165" s="437">
        <f>+J165*G165</f>
        <v>0</v>
      </c>
      <c r="M165" s="16"/>
      <c r="N165" s="3"/>
      <c r="O165" s="3"/>
    </row>
    <row r="166" spans="1:15" ht="15.75" thickBot="1">
      <c r="A166" s="318"/>
      <c r="B166" s="320">
        <f>+B165+1</f>
        <v>100</v>
      </c>
      <c r="C166" s="337"/>
      <c r="D166" s="336" t="s">
        <v>301</v>
      </c>
      <c r="E166" s="329" t="str">
        <f>"Worksheet O Ln "&amp;'Worksheet O'!A31&amp;" (B),  (Note K &amp; M)"</f>
        <v>Worksheet O Ln 16 (B),  (Note K &amp; M)</v>
      </c>
      <c r="F166" s="329"/>
      <c r="G166" s="399">
        <f>'Worksheet O'!D31</f>
        <v>-288.68399999999997</v>
      </c>
      <c r="H166" s="329"/>
      <c r="I166" s="330" t="s">
        <v>653</v>
      </c>
      <c r="J166" s="331">
        <f>L244</f>
        <v>0.9723337795626952</v>
      </c>
      <c r="K166" s="329"/>
      <c r="L166" s="399">
        <f>+G166*J166</f>
        <v>-280.6972048192771</v>
      </c>
      <c r="M166" s="18"/>
      <c r="N166" s="3"/>
      <c r="O166" s="3"/>
    </row>
    <row r="167" spans="1:15" ht="15">
      <c r="A167" s="318"/>
      <c r="B167" s="320">
        <f>+B166+1</f>
        <v>101</v>
      </c>
      <c r="C167" s="337"/>
      <c r="D167" s="340" t="s">
        <v>632</v>
      </c>
      <c r="E167" s="329" t="str">
        <f>"(sum lns "&amp;B161&amp;"  to "&amp;B166&amp;")"</f>
        <v>(sum lns 95  to 100)</v>
      </c>
      <c r="F167" s="329"/>
      <c r="G167" s="413">
        <f>SUM(G161:G166)</f>
        <v>77634.316</v>
      </c>
      <c r="H167" s="333"/>
      <c r="I167" s="364"/>
      <c r="J167" s="414"/>
      <c r="K167" s="349"/>
      <c r="L167" s="413">
        <f>SUM(L161:L166)</f>
        <v>75486.46790004462</v>
      </c>
      <c r="M167" s="16"/>
      <c r="N167" s="37"/>
      <c r="O167" s="3"/>
    </row>
    <row r="168" spans="1:15" ht="15.75" thickBot="1">
      <c r="A168" s="318"/>
      <c r="B168" s="320"/>
      <c r="C168" s="337"/>
      <c r="D168" s="336"/>
      <c r="E168" s="329"/>
      <c r="F168" s="329"/>
      <c r="G168" s="399"/>
      <c r="H168" s="329"/>
      <c r="I168" s="364"/>
      <c r="J168" s="414"/>
      <c r="K168" s="349"/>
      <c r="L168" s="420"/>
      <c r="M168" s="16"/>
      <c r="N168" s="3"/>
      <c r="O168" s="3"/>
    </row>
    <row r="169" spans="1:15" ht="15">
      <c r="A169" s="318"/>
      <c r="B169" s="320">
        <f>+B167+1</f>
        <v>102</v>
      </c>
      <c r="C169" s="326"/>
      <c r="D169" s="336" t="s">
        <v>281</v>
      </c>
      <c r="E169" s="329" t="str">
        <f>"(ln "&amp;B154&amp;" + ln "&amp;B167&amp;")"</f>
        <v>(ln 89 + ln 101)</v>
      </c>
      <c r="F169" s="329"/>
      <c r="G169" s="333">
        <f>+G154+G167</f>
        <v>78632.316</v>
      </c>
      <c r="H169" s="333"/>
      <c r="I169" s="330"/>
      <c r="J169" s="329"/>
      <c r="K169" s="329"/>
      <c r="L169" s="333">
        <f>L154+L167</f>
        <v>76484.46790004462</v>
      </c>
      <c r="M169" s="16"/>
      <c r="N169" s="3"/>
      <c r="O169" s="3"/>
    </row>
    <row r="170" spans="1:15" ht="15">
      <c r="A170" s="318"/>
      <c r="B170" s="412">
        <f>+B169+1</f>
        <v>103</v>
      </c>
      <c r="C170" s="326"/>
      <c r="D170" s="389" t="s">
        <v>471</v>
      </c>
      <c r="E170" s="329" t="s">
        <v>637</v>
      </c>
      <c r="F170" s="329"/>
      <c r="G170" s="1215">
        <v>0</v>
      </c>
      <c r="H170" s="333"/>
      <c r="I170" s="364" t="s">
        <v>651</v>
      </c>
      <c r="J170" s="331">
        <f>J63</f>
        <v>1</v>
      </c>
      <c r="K170" s="329"/>
      <c r="L170" s="413">
        <f>J170*G170</f>
        <v>0</v>
      </c>
      <c r="M170" s="16"/>
      <c r="N170" s="3"/>
      <c r="O170" s="3"/>
    </row>
    <row r="171" spans="1:15" ht="15.75" thickBot="1">
      <c r="A171" s="318"/>
      <c r="B171" s="412">
        <f>+B170+1</f>
        <v>104</v>
      </c>
      <c r="C171" s="326"/>
      <c r="D171" s="336" t="s">
        <v>410</v>
      </c>
      <c r="E171" s="336"/>
      <c r="F171" s="329"/>
      <c r="G171" s="298">
        <v>0</v>
      </c>
      <c r="H171" s="333"/>
      <c r="I171" s="364" t="s">
        <v>651</v>
      </c>
      <c r="J171" s="331">
        <f>J63</f>
        <v>1</v>
      </c>
      <c r="K171" s="329"/>
      <c r="L171" s="420">
        <f>J171*G171</f>
        <v>0</v>
      </c>
      <c r="M171" s="16"/>
      <c r="N171" s="3"/>
      <c r="O171" s="3"/>
    </row>
    <row r="172" spans="1:15" ht="15">
      <c r="A172" s="318"/>
      <c r="B172" s="320">
        <f>+B171+1</f>
        <v>105</v>
      </c>
      <c r="C172" s="337"/>
      <c r="D172" s="336" t="s">
        <v>633</v>
      </c>
      <c r="E172" s="329" t="str">
        <f>"(ln "&amp;B169&amp;" + ln "&amp;B171&amp;")"</f>
        <v>(ln 102 + ln 104)</v>
      </c>
      <c r="F172" s="329"/>
      <c r="G172" s="333">
        <f>+G169+G170+G171</f>
        <v>78632.316</v>
      </c>
      <c r="H172" s="333"/>
      <c r="I172" s="330"/>
      <c r="J172" s="329"/>
      <c r="K172" s="329"/>
      <c r="L172" s="333">
        <f>+L169+L170+L171</f>
        <v>76484.46790004462</v>
      </c>
      <c r="M172" s="16"/>
      <c r="N172" s="3"/>
      <c r="O172" s="3"/>
    </row>
    <row r="173" spans="1:15" ht="15">
      <c r="A173" s="318"/>
      <c r="B173" s="320"/>
      <c r="C173" s="337"/>
      <c r="D173" s="336"/>
      <c r="E173" s="349"/>
      <c r="F173" s="349"/>
      <c r="G173" s="413"/>
      <c r="H173" s="329"/>
      <c r="I173" s="349"/>
      <c r="J173" s="349"/>
      <c r="K173" s="349"/>
      <c r="L173" s="413"/>
      <c r="M173" s="16"/>
      <c r="N173" s="3"/>
      <c r="O173" s="3"/>
    </row>
    <row r="174" spans="1:15" ht="15">
      <c r="A174" s="318"/>
      <c r="B174" s="320">
        <f>+B172+1</f>
        <v>106</v>
      </c>
      <c r="C174" s="337"/>
      <c r="D174" s="398" t="s">
        <v>636</v>
      </c>
      <c r="E174" s="330"/>
      <c r="F174" s="330"/>
      <c r="G174" s="413"/>
      <c r="H174" s="329"/>
      <c r="I174" s="364"/>
      <c r="J174" s="349"/>
      <c r="K174" s="349"/>
      <c r="L174" s="413"/>
      <c r="M174" s="16"/>
      <c r="N174" s="3"/>
      <c r="O174" s="3"/>
    </row>
    <row r="175" spans="1:15" ht="15">
      <c r="A175" s="318"/>
      <c r="B175" s="320">
        <f aca="true" t="shared" si="8" ref="B175:B182">+B174+1</f>
        <v>107</v>
      </c>
      <c r="C175" s="337"/>
      <c r="D175" s="389" t="s">
        <v>471</v>
      </c>
      <c r="E175" s="329"/>
      <c r="F175" s="329"/>
      <c r="G175" s="333"/>
      <c r="H175" s="333"/>
      <c r="I175" s="330"/>
      <c r="J175" s="331"/>
      <c r="K175" s="329"/>
      <c r="L175" s="333"/>
      <c r="M175" s="16"/>
      <c r="N175" s="3"/>
      <c r="O175" s="3"/>
    </row>
    <row r="176" spans="1:15" ht="15">
      <c r="A176" s="318"/>
      <c r="B176" s="320">
        <f t="shared" si="8"/>
        <v>108</v>
      </c>
      <c r="C176" s="337"/>
      <c r="D176" s="389" t="s">
        <v>471</v>
      </c>
      <c r="E176" s="329"/>
      <c r="F176" s="329"/>
      <c r="G176" s="333"/>
      <c r="H176" s="333"/>
      <c r="I176" s="330"/>
      <c r="J176" s="331"/>
      <c r="K176" s="329"/>
      <c r="L176" s="333"/>
      <c r="M176" s="16"/>
      <c r="N176" s="3"/>
      <c r="O176" s="3"/>
    </row>
    <row r="177" spans="1:15" ht="15">
      <c r="A177" s="318"/>
      <c r="B177" s="412">
        <f t="shared" si="8"/>
        <v>109</v>
      </c>
      <c r="C177" s="337"/>
      <c r="D177" s="391" t="str">
        <f>+D149</f>
        <v>  Transmission </v>
      </c>
      <c r="E177" s="328" t="s">
        <v>285</v>
      </c>
      <c r="F177" s="438"/>
      <c r="G177" s="310">
        <v>434</v>
      </c>
      <c r="H177" s="439"/>
      <c r="I177" s="440" t="s">
        <v>582</v>
      </c>
      <c r="J177" s="331">
        <f>J77</f>
        <v>1</v>
      </c>
      <c r="K177" s="441"/>
      <c r="L177" s="442">
        <f>J177*G177</f>
        <v>434</v>
      </c>
      <c r="M177" s="22"/>
      <c r="N177" s="3"/>
      <c r="O177" s="3"/>
    </row>
    <row r="178" spans="1:15" ht="15.75">
      <c r="A178" s="318"/>
      <c r="B178" s="412">
        <f t="shared" si="8"/>
        <v>110</v>
      </c>
      <c r="C178" s="337"/>
      <c r="D178" s="389" t="s">
        <v>471</v>
      </c>
      <c r="E178" s="392"/>
      <c r="F178" s="392"/>
      <c r="G178" s="443">
        <v>0</v>
      </c>
      <c r="H178" s="413"/>
      <c r="I178" s="364"/>
      <c r="J178" s="414"/>
      <c r="K178" s="349"/>
      <c r="L178" s="443">
        <f>G178</f>
        <v>0</v>
      </c>
      <c r="M178" s="22"/>
      <c r="N178" s="3"/>
      <c r="O178" s="3"/>
    </row>
    <row r="179" spans="1:15" ht="15">
      <c r="A179" s="318"/>
      <c r="B179" s="320">
        <f t="shared" si="8"/>
        <v>111</v>
      </c>
      <c r="C179" s="337"/>
      <c r="D179" s="389" t="s">
        <v>471</v>
      </c>
      <c r="E179" s="329" t="s">
        <v>637</v>
      </c>
      <c r="F179" s="392"/>
      <c r="G179" s="395">
        <f>'WS A  - RB Support '!E89</f>
        <v>0</v>
      </c>
      <c r="H179" s="413"/>
      <c r="I179" s="364"/>
      <c r="J179" s="414"/>
      <c r="K179" s="349"/>
      <c r="L179" s="333">
        <f>G179</f>
        <v>0</v>
      </c>
      <c r="M179" s="22"/>
      <c r="N179" s="3"/>
      <c r="O179" s="3"/>
    </row>
    <row r="180" spans="1:15" ht="15">
      <c r="A180" s="318"/>
      <c r="B180" s="320">
        <f t="shared" si="8"/>
        <v>112</v>
      </c>
      <c r="C180" s="337"/>
      <c r="D180" s="398" t="s">
        <v>657</v>
      </c>
      <c r="E180" s="438" t="s">
        <v>286</v>
      </c>
      <c r="F180" s="349"/>
      <c r="G180" s="310">
        <v>0</v>
      </c>
      <c r="H180" s="333"/>
      <c r="I180" s="364" t="s">
        <v>653</v>
      </c>
      <c r="J180" s="331">
        <f>L244</f>
        <v>0.9723337795626952</v>
      </c>
      <c r="K180" s="349"/>
      <c r="L180" s="413">
        <f>+J180*G180</f>
        <v>0</v>
      </c>
      <c r="M180" s="16"/>
      <c r="N180" s="7"/>
      <c r="O180" s="3"/>
    </row>
    <row r="181" spans="1:15" ht="15.75" thickBot="1">
      <c r="A181" s="318"/>
      <c r="B181" s="320">
        <f t="shared" si="8"/>
        <v>113</v>
      </c>
      <c r="C181" s="337"/>
      <c r="D181" s="398" t="s">
        <v>658</v>
      </c>
      <c r="E181" s="392" t="s">
        <v>287</v>
      </c>
      <c r="F181" s="329"/>
      <c r="G181" s="298">
        <v>8508</v>
      </c>
      <c r="H181" s="333"/>
      <c r="I181" s="364" t="s">
        <v>653</v>
      </c>
      <c r="J181" s="331">
        <f>L244</f>
        <v>0.9723337795626952</v>
      </c>
      <c r="K181" s="349"/>
      <c r="L181" s="420">
        <f>+J181*G181</f>
        <v>8272.61579651941</v>
      </c>
      <c r="M181" s="16"/>
      <c r="N181" s="7"/>
      <c r="O181" s="3"/>
    </row>
    <row r="182" spans="1:15" ht="15" customHeight="1">
      <c r="A182" s="318"/>
      <c r="B182" s="320">
        <f t="shared" si="8"/>
        <v>114</v>
      </c>
      <c r="C182" s="337"/>
      <c r="D182" s="398" t="s">
        <v>148</v>
      </c>
      <c r="E182" s="444" t="str">
        <f>"(Ln "&amp;B177&amp;"+"&amp;B180&amp;"+"&amp;B181&amp;")"</f>
        <v>(Ln 109+112+113)</v>
      </c>
      <c r="F182" s="349"/>
      <c r="G182" s="333">
        <f>+G177+G180+G181</f>
        <v>8942</v>
      </c>
      <c r="H182" s="329"/>
      <c r="I182" s="364"/>
      <c r="J182" s="349"/>
      <c r="K182" s="349"/>
      <c r="L182" s="333">
        <f>+L177+L180+L181</f>
        <v>8706.61579651941</v>
      </c>
      <c r="M182" s="16"/>
      <c r="N182" s="3"/>
      <c r="O182" s="3"/>
    </row>
    <row r="183" spans="1:15" ht="15">
      <c r="A183" s="318"/>
      <c r="B183" s="320"/>
      <c r="C183" s="337"/>
      <c r="D183" s="398"/>
      <c r="E183" s="445"/>
      <c r="F183" s="349"/>
      <c r="G183" s="413"/>
      <c r="H183" s="329"/>
      <c r="I183" s="364"/>
      <c r="J183" s="349"/>
      <c r="K183" s="349"/>
      <c r="L183" s="413"/>
      <c r="M183" s="16"/>
      <c r="N183" s="3"/>
      <c r="O183" s="3"/>
    </row>
    <row r="184" spans="1:15" ht="15">
      <c r="A184" s="318"/>
      <c r="B184" s="320">
        <f>+B182+1</f>
        <v>115</v>
      </c>
      <c r="C184" s="337"/>
      <c r="D184" s="398" t="s">
        <v>586</v>
      </c>
      <c r="E184" s="376" t="s">
        <v>288</v>
      </c>
      <c r="F184" s="318"/>
      <c r="G184" s="413"/>
      <c r="H184" s="329"/>
      <c r="I184" s="364"/>
      <c r="J184" s="349"/>
      <c r="K184" s="349"/>
      <c r="L184" s="413"/>
      <c r="M184" s="16"/>
      <c r="N184" s="217"/>
      <c r="O184" s="3"/>
    </row>
    <row r="185" spans="1:15" ht="15">
      <c r="A185" s="318"/>
      <c r="B185" s="320">
        <f aca="true" t="shared" si="9" ref="B185:B190">+B184+1</f>
        <v>116</v>
      </c>
      <c r="C185" s="337"/>
      <c r="D185" s="398" t="s">
        <v>659</v>
      </c>
      <c r="E185" s="318"/>
      <c r="F185" s="318"/>
      <c r="G185" s="413"/>
      <c r="H185" s="329"/>
      <c r="I185" s="364"/>
      <c r="J185" s="318"/>
      <c r="K185" s="349"/>
      <c r="L185" s="413"/>
      <c r="M185" s="16"/>
      <c r="N185" s="3"/>
      <c r="O185" s="3"/>
    </row>
    <row r="186" spans="1:15" ht="15">
      <c r="A186" s="318"/>
      <c r="B186" s="320">
        <f t="shared" si="9"/>
        <v>117</v>
      </c>
      <c r="C186" s="337"/>
      <c r="D186" s="398" t="s">
        <v>660</v>
      </c>
      <c r="E186" s="329" t="str">
        <f>"Worksheet H ln "&amp;'WS H-p1 Other Taxes'!A41&amp;"."&amp;'WS H-p1 Other Taxes'!I8&amp;""</f>
        <v>Worksheet H ln 23.(D)</v>
      </c>
      <c r="F186" s="349"/>
      <c r="G186" s="333">
        <f>+'WS H-p1 Other Taxes'!I41</f>
        <v>0</v>
      </c>
      <c r="H186" s="333"/>
      <c r="I186" s="364" t="s">
        <v>653</v>
      </c>
      <c r="J186" s="331">
        <f>L244</f>
        <v>0.9723337795626952</v>
      </c>
      <c r="K186" s="349"/>
      <c r="L186" s="413">
        <f>+J186*G186</f>
        <v>0</v>
      </c>
      <c r="M186" s="23"/>
      <c r="N186" s="3"/>
      <c r="O186" s="3"/>
    </row>
    <row r="187" spans="1:15" ht="15">
      <c r="A187" s="318"/>
      <c r="B187" s="320">
        <f t="shared" si="9"/>
        <v>118</v>
      </c>
      <c r="C187" s="337"/>
      <c r="D187" s="398" t="s">
        <v>661</v>
      </c>
      <c r="E187" s="329" t="s">
        <v>637</v>
      </c>
      <c r="F187" s="349"/>
      <c r="G187" s="333"/>
      <c r="H187" s="333"/>
      <c r="I187" s="364"/>
      <c r="J187" s="318"/>
      <c r="K187" s="349"/>
      <c r="L187" s="413"/>
      <c r="M187" s="18"/>
      <c r="N187" s="3"/>
      <c r="O187" s="3"/>
    </row>
    <row r="188" spans="1:15" ht="15">
      <c r="A188" s="318"/>
      <c r="B188" s="320">
        <f t="shared" si="9"/>
        <v>119</v>
      </c>
      <c r="C188" s="326"/>
      <c r="D188" s="396" t="s">
        <v>662</v>
      </c>
      <c r="E188" s="329" t="str">
        <f>"Worksheet H ln "&amp;'WS H-p1 Other Taxes'!A41&amp;".(C) &amp; ln "&amp;'WS H-p1 Other Taxes'!A85&amp;"."&amp;'WS H-p1 Other Taxes'!G8&amp;""</f>
        <v>Worksheet H ln 23.(C) &amp; ln 58.(C)</v>
      </c>
      <c r="F188" s="329"/>
      <c r="G188" s="333">
        <f>+'WS H-p1 Other Taxes'!G41</f>
        <v>6130</v>
      </c>
      <c r="H188" s="333"/>
      <c r="I188" s="330" t="s">
        <v>651</v>
      </c>
      <c r="J188" s="331">
        <v>1</v>
      </c>
      <c r="K188" s="329"/>
      <c r="L188" s="1185">
        <f>IF(G188=0,0,+'WS H-p1 Other Taxes'!G85)</f>
        <v>6130</v>
      </c>
      <c r="M188" s="224"/>
      <c r="N188" s="217"/>
      <c r="O188" s="7"/>
    </row>
    <row r="189" spans="1:15" ht="15">
      <c r="A189" s="318"/>
      <c r="B189" s="320">
        <f t="shared" si="9"/>
        <v>120</v>
      </c>
      <c r="C189" s="337"/>
      <c r="D189" s="398" t="s">
        <v>733</v>
      </c>
      <c r="E189" s="329" t="str">
        <f>"Worksheet H ln "&amp;'WS H-p1 Other Taxes'!A41&amp;"."&amp;'WS H-p1 Other Taxes'!M8&amp;""</f>
        <v>Worksheet H ln 23.(F)</v>
      </c>
      <c r="F189" s="349"/>
      <c r="G189" s="333">
        <f>+'WS H-p1 Other Taxes'!M41</f>
        <v>0</v>
      </c>
      <c r="H189" s="418"/>
      <c r="I189" s="364" t="s">
        <v>649</v>
      </c>
      <c r="J189" s="331">
        <v>0</v>
      </c>
      <c r="K189" s="349"/>
      <c r="L189" s="413">
        <f>+J189*G189</f>
        <v>0</v>
      </c>
      <c r="M189" s="18"/>
      <c r="N189" s="3"/>
      <c r="O189" s="3"/>
    </row>
    <row r="190" spans="1:15" ht="15.75" thickBot="1">
      <c r="A190" s="318"/>
      <c r="B190" s="320">
        <f t="shared" si="9"/>
        <v>121</v>
      </c>
      <c r="C190" s="337"/>
      <c r="D190" s="398" t="s">
        <v>663</v>
      </c>
      <c r="E190" s="329" t="str">
        <f>"Worksheet H ln "&amp;'WS H-p1 Other Taxes'!A41&amp;"."&amp;'WS H-p1 Other Taxes'!K8&amp;""</f>
        <v>Worksheet H ln 23.(E)</v>
      </c>
      <c r="F190" s="349"/>
      <c r="G190" s="399">
        <f>+'WS H-p1 Other Taxes'!K41</f>
        <v>0</v>
      </c>
      <c r="H190" s="418"/>
      <c r="I190" s="364" t="s">
        <v>183</v>
      </c>
      <c r="J190" s="331">
        <f>J72</f>
        <v>0.9828494827763624</v>
      </c>
      <c r="K190" s="349"/>
      <c r="L190" s="420">
        <f>+J190*G190</f>
        <v>0</v>
      </c>
      <c r="M190" s="18"/>
      <c r="N190" s="3"/>
      <c r="O190" s="3"/>
    </row>
    <row r="191" spans="1:15" ht="15">
      <c r="A191" s="318"/>
      <c r="B191" s="320">
        <f>+B190+1</f>
        <v>122</v>
      </c>
      <c r="C191" s="337"/>
      <c r="D191" s="398" t="s">
        <v>587</v>
      </c>
      <c r="E191" s="332" t="str">
        <f>"(sum lns "&amp;B186&amp;" to "&amp;B190&amp;")"</f>
        <v>(sum lns 117 to 121)</v>
      </c>
      <c r="F191" s="349"/>
      <c r="G191" s="333">
        <f>SUM(G186:G190)</f>
        <v>6130</v>
      </c>
      <c r="H191" s="329"/>
      <c r="I191" s="364"/>
      <c r="J191" s="446"/>
      <c r="K191" s="349"/>
      <c r="L191" s="413">
        <f>SUM(L186:L190)</f>
        <v>6130</v>
      </c>
      <c r="M191" s="16"/>
      <c r="N191" s="3"/>
      <c r="O191" s="3"/>
    </row>
    <row r="192" spans="1:15" ht="15">
      <c r="A192" s="318"/>
      <c r="B192" s="320"/>
      <c r="C192" s="337"/>
      <c r="D192" s="398"/>
      <c r="E192" s="349"/>
      <c r="F192" s="349"/>
      <c r="G192" s="349"/>
      <c r="H192" s="329"/>
      <c r="I192" s="364"/>
      <c r="J192" s="446"/>
      <c r="K192" s="349"/>
      <c r="L192" s="349"/>
      <c r="M192" s="156"/>
      <c r="N192" s="3"/>
      <c r="O192" s="3"/>
    </row>
    <row r="193" spans="1:15" ht="15">
      <c r="A193" s="318"/>
      <c r="B193" s="320">
        <f>+B191+1</f>
        <v>123</v>
      </c>
      <c r="C193" s="337"/>
      <c r="D193" s="398" t="s">
        <v>185</v>
      </c>
      <c r="E193" s="329" t="s">
        <v>289</v>
      </c>
      <c r="F193" s="447"/>
      <c r="G193" s="349"/>
      <c r="H193" s="339"/>
      <c r="I193" s="424"/>
      <c r="J193" s="318"/>
      <c r="K193" s="349"/>
      <c r="L193" s="448"/>
      <c r="M193" s="16"/>
      <c r="N193" s="3"/>
      <c r="O193" s="3"/>
    </row>
    <row r="194" spans="1:15" ht="15">
      <c r="A194" s="318"/>
      <c r="B194" s="320">
        <f aca="true" t="shared" si="10" ref="B194:B199">+B193+1</f>
        <v>124</v>
      </c>
      <c r="C194" s="337"/>
      <c r="D194" s="449" t="s">
        <v>186</v>
      </c>
      <c r="E194" s="349"/>
      <c r="F194" s="450"/>
      <c r="G194" s="451">
        <f>IF(F364&gt;0,1-(((1-F365)*(1-F364))/(1-F365*F364*F366)),0)</f>
        <v>0.389</v>
      </c>
      <c r="H194" s="452"/>
      <c r="I194" s="452"/>
      <c r="J194" s="318"/>
      <c r="K194" s="453"/>
      <c r="L194" s="448"/>
      <c r="M194" s="16"/>
      <c r="N194" s="3"/>
      <c r="O194" s="3"/>
    </row>
    <row r="195" spans="1:15" ht="15">
      <c r="A195" s="318"/>
      <c r="B195" s="320">
        <f t="shared" si="10"/>
        <v>125</v>
      </c>
      <c r="C195" s="337"/>
      <c r="D195" s="417" t="s">
        <v>187</v>
      </c>
      <c r="E195" s="349"/>
      <c r="F195" s="450"/>
      <c r="G195" s="451">
        <f>IF(L258&gt;0,($G194/(1-$G194))*(1-$L258/$L261),0)</f>
        <v>0.5698347807895298</v>
      </c>
      <c r="H195" s="452"/>
      <c r="I195" s="452"/>
      <c r="J195" s="318"/>
      <c r="K195" s="453"/>
      <c r="L195" s="448"/>
      <c r="M195" s="16"/>
      <c r="N195" s="3"/>
      <c r="O195" s="3"/>
    </row>
    <row r="196" spans="1:15" ht="15">
      <c r="A196" s="318"/>
      <c r="B196" s="320">
        <f t="shared" si="10"/>
        <v>126</v>
      </c>
      <c r="C196" s="337"/>
      <c r="D196" s="396" t="str">
        <f>"       where WCLTD=(ln "&amp;B275&amp;") and WACC = (ln "&amp;B278&amp;")"</f>
        <v>       where WCLTD=(ln 178) and WACC = (ln 181)</v>
      </c>
      <c r="E196" s="329"/>
      <c r="F196" s="454"/>
      <c r="G196" s="349"/>
      <c r="H196" s="452"/>
      <c r="I196" s="452"/>
      <c r="J196" s="455"/>
      <c r="K196" s="453"/>
      <c r="L196" s="456"/>
      <c r="M196" s="16"/>
      <c r="N196" s="3"/>
      <c r="O196" s="3"/>
    </row>
    <row r="197" spans="1:15" ht="15">
      <c r="A197" s="318"/>
      <c r="B197" s="320">
        <f t="shared" si="10"/>
        <v>127</v>
      </c>
      <c r="C197" s="337"/>
      <c r="D197" s="398" t="s">
        <v>291</v>
      </c>
      <c r="E197" s="457"/>
      <c r="F197" s="450"/>
      <c r="G197" s="349"/>
      <c r="H197" s="339"/>
      <c r="I197" s="424"/>
      <c r="J197" s="455"/>
      <c r="K197" s="453"/>
      <c r="L197" s="448"/>
      <c r="M197" s="16"/>
      <c r="N197" s="3"/>
      <c r="O197" s="3"/>
    </row>
    <row r="198" spans="1:15" ht="15">
      <c r="A198" s="318"/>
      <c r="B198" s="320">
        <f t="shared" si="10"/>
        <v>128</v>
      </c>
      <c r="C198" s="337"/>
      <c r="D198" s="458" t="str">
        <f>"      GRCF=1 / (1 - T)  = (from ln "&amp;B194&amp;")"</f>
        <v>      GRCF=1 / (1 - T)  = (from ln 124)</v>
      </c>
      <c r="E198" s="447"/>
      <c r="F198" s="447"/>
      <c r="G198" s="459">
        <f>IF(G194&gt;0,1/(1-G194),0)</f>
        <v>1.6366612111292962</v>
      </c>
      <c r="H198" s="339"/>
      <c r="I198" s="375"/>
      <c r="J198" s="460"/>
      <c r="K198" s="461"/>
      <c r="L198" s="462"/>
      <c r="M198" s="16"/>
      <c r="N198" s="3"/>
      <c r="O198" s="3"/>
    </row>
    <row r="199" spans="1:15" ht="15">
      <c r="A199" s="318"/>
      <c r="B199" s="320">
        <f t="shared" si="10"/>
        <v>129</v>
      </c>
      <c r="C199" s="337"/>
      <c r="D199" s="398" t="s">
        <v>188</v>
      </c>
      <c r="E199" s="414" t="s">
        <v>436</v>
      </c>
      <c r="F199" s="447"/>
      <c r="G199" s="300">
        <v>0</v>
      </c>
      <c r="H199" s="339"/>
      <c r="I199" s="375"/>
      <c r="J199" s="463"/>
      <c r="K199" s="461"/>
      <c r="L199" s="448"/>
      <c r="M199" s="19"/>
      <c r="N199" s="3"/>
      <c r="O199" s="3"/>
    </row>
    <row r="200" spans="1:15" ht="15">
      <c r="A200" s="318"/>
      <c r="B200" s="320">
        <f aca="true" t="shared" si="11" ref="B200:B206">+B199+1</f>
        <v>130</v>
      </c>
      <c r="C200" s="337"/>
      <c r="D200" s="398" t="s">
        <v>841</v>
      </c>
      <c r="E200" s="329" t="s">
        <v>843</v>
      </c>
      <c r="F200" s="450"/>
      <c r="G200" s="300">
        <v>0</v>
      </c>
      <c r="H200" s="339"/>
      <c r="I200" s="467" t="s">
        <v>184</v>
      </c>
      <c r="J200" s="331">
        <f>NP_h</f>
        <v>0.9837560628241651</v>
      </c>
      <c r="K200" s="461"/>
      <c r="L200" s="437">
        <f>+G200*J200</f>
        <v>0</v>
      </c>
      <c r="M200" s="16"/>
      <c r="N200" s="3"/>
      <c r="O200" s="3"/>
    </row>
    <row r="201" spans="1:15" ht="15">
      <c r="A201" s="318"/>
      <c r="B201" s="320">
        <f t="shared" si="11"/>
        <v>131</v>
      </c>
      <c r="C201" s="337"/>
      <c r="D201" s="398" t="s">
        <v>842</v>
      </c>
      <c r="E201" s="329" t="s">
        <v>843</v>
      </c>
      <c r="F201" s="450"/>
      <c r="G201" s="300">
        <v>0</v>
      </c>
      <c r="H201" s="339"/>
      <c r="I201" s="467" t="s">
        <v>184</v>
      </c>
      <c r="J201" s="331">
        <f>NP_h</f>
        <v>0.9837560628241651</v>
      </c>
      <c r="K201" s="461"/>
      <c r="L201" s="437">
        <f>+G201*J201</f>
        <v>0</v>
      </c>
      <c r="M201" s="16"/>
      <c r="N201" s="3"/>
      <c r="O201" s="3"/>
    </row>
    <row r="202" spans="1:15" ht="15">
      <c r="A202" s="318"/>
      <c r="B202" s="320">
        <f t="shared" si="11"/>
        <v>132</v>
      </c>
      <c r="C202" s="337"/>
      <c r="D202" s="449" t="s">
        <v>189</v>
      </c>
      <c r="E202" s="465" t="str">
        <f>"(ln "&amp;B195&amp;" * ln "&amp;B208&amp;")"</f>
        <v>(ln 125 * ln 137)</v>
      </c>
      <c r="F202" s="466"/>
      <c r="G202" s="413">
        <f>+G195*G208</f>
        <v>3191.94173761894</v>
      </c>
      <c r="H202" s="339"/>
      <c r="I202" s="375"/>
      <c r="J202" s="464"/>
      <c r="K202" s="413"/>
      <c r="L202" s="413">
        <f>+L208*G195</f>
        <v>2577.749934268937</v>
      </c>
      <c r="M202" s="16"/>
      <c r="N202" s="3"/>
      <c r="O202" s="3"/>
    </row>
    <row r="203" spans="1:15" ht="15">
      <c r="A203" s="318"/>
      <c r="B203" s="320">
        <f t="shared" si="11"/>
        <v>133</v>
      </c>
      <c r="C203" s="337"/>
      <c r="D203" s="417" t="s">
        <v>190</v>
      </c>
      <c r="E203" s="465" t="str">
        <f>"(ln "&amp;B198&amp;" * ln "&amp;B199&amp;")"</f>
        <v>(ln 128 * ln 129)</v>
      </c>
      <c r="F203" s="465"/>
      <c r="G203" s="437">
        <f>G198*G199</f>
        <v>0</v>
      </c>
      <c r="H203" s="339"/>
      <c r="I203" s="467" t="s">
        <v>184</v>
      </c>
      <c r="J203" s="331">
        <f>NP_h</f>
        <v>0.9837560628241651</v>
      </c>
      <c r="K203" s="413"/>
      <c r="L203" s="437">
        <f>+G203*J203</f>
        <v>0</v>
      </c>
      <c r="M203" s="16"/>
      <c r="N203" s="3"/>
      <c r="O203" s="3"/>
    </row>
    <row r="204" spans="1:15" ht="15">
      <c r="A204" s="318"/>
      <c r="B204" s="320">
        <f t="shared" si="11"/>
        <v>134</v>
      </c>
      <c r="C204" s="337"/>
      <c r="D204" s="417" t="s">
        <v>841</v>
      </c>
      <c r="E204" s="465" t="str">
        <f>"(ln "&amp;B198&amp;" * ln "&amp;B200&amp;")"</f>
        <v>(ln 128 * ln 130)</v>
      </c>
      <c r="F204" s="465"/>
      <c r="G204" s="437">
        <f>G198*G200</f>
        <v>0</v>
      </c>
      <c r="H204" s="468"/>
      <c r="I204" s="467"/>
      <c r="J204" s="331"/>
      <c r="K204" s="413"/>
      <c r="L204" s="437">
        <f>G198*L200</f>
        <v>0</v>
      </c>
      <c r="M204" s="16"/>
      <c r="N204" s="3"/>
      <c r="O204" s="3"/>
    </row>
    <row r="205" spans="1:15" ht="15">
      <c r="A205" s="318"/>
      <c r="B205" s="320">
        <f t="shared" si="11"/>
        <v>135</v>
      </c>
      <c r="C205" s="337"/>
      <c r="D205" s="417" t="s">
        <v>845</v>
      </c>
      <c r="E205" s="465" t="str">
        <f>"(ln "&amp;B198&amp;" * ln "&amp;B201&amp;")"</f>
        <v>(ln 128 * ln 131)</v>
      </c>
      <c r="F205" s="465"/>
      <c r="G205" s="469">
        <f>G198*G201</f>
        <v>0</v>
      </c>
      <c r="H205" s="468"/>
      <c r="I205" s="467"/>
      <c r="J205" s="331"/>
      <c r="K205" s="413"/>
      <c r="L205" s="469">
        <f>G198*L201</f>
        <v>0</v>
      </c>
      <c r="M205" s="16"/>
      <c r="N205" s="3"/>
      <c r="O205" s="3"/>
    </row>
    <row r="206" spans="1:15" ht="15">
      <c r="A206" s="318"/>
      <c r="B206" s="412">
        <f t="shared" si="11"/>
        <v>136</v>
      </c>
      <c r="C206" s="337"/>
      <c r="D206" s="449" t="s">
        <v>588</v>
      </c>
      <c r="E206" s="349" t="str">
        <f>"(sum lns "&amp;B202&amp;" to "&amp;B205&amp;")"</f>
        <v>(sum lns 132 to 135)</v>
      </c>
      <c r="F206" s="465"/>
      <c r="G206" s="470">
        <f>SUM(G202:G205)</f>
        <v>3191.94173761894</v>
      </c>
      <c r="H206" s="339"/>
      <c r="I206" s="375" t="s">
        <v>637</v>
      </c>
      <c r="J206" s="471"/>
      <c r="K206" s="413"/>
      <c r="L206" s="470">
        <f>SUM(L202:L205)</f>
        <v>2577.749934268937</v>
      </c>
      <c r="M206" s="16"/>
      <c r="N206" s="3"/>
      <c r="O206" s="3"/>
    </row>
    <row r="207" spans="1:15" ht="15">
      <c r="A207" s="318"/>
      <c r="B207" s="412"/>
      <c r="C207" s="337"/>
      <c r="D207" s="449"/>
      <c r="E207" s="349"/>
      <c r="F207" s="465"/>
      <c r="G207" s="470"/>
      <c r="H207" s="339"/>
      <c r="I207" s="375"/>
      <c r="J207" s="471"/>
      <c r="K207" s="413"/>
      <c r="L207" s="470"/>
      <c r="M207" s="16"/>
      <c r="N207" s="3"/>
      <c r="O207" s="3"/>
    </row>
    <row r="208" spans="1:15" ht="15">
      <c r="A208" s="318"/>
      <c r="B208" s="412">
        <f>+B206+1</f>
        <v>137</v>
      </c>
      <c r="C208" s="337"/>
      <c r="D208" s="458" t="s">
        <v>732</v>
      </c>
      <c r="E208" s="458" t="str">
        <f>"(ln "&amp;B130&amp;" * ln "&amp;B278&amp;")"</f>
        <v>(ln 79 * ln 181)</v>
      </c>
      <c r="F208" s="422"/>
      <c r="G208" s="472">
        <f>+$L261*G130</f>
        <v>5601.521432574495</v>
      </c>
      <c r="H208" s="329"/>
      <c r="I208" s="375"/>
      <c r="J208" s="413"/>
      <c r="K208" s="413"/>
      <c r="L208" s="472">
        <f>+L261*L130</f>
        <v>4523.679531630831</v>
      </c>
      <c r="M208" s="16"/>
      <c r="N208" s="61"/>
      <c r="O208" s="61"/>
    </row>
    <row r="209" spans="1:13" ht="15">
      <c r="A209" s="318"/>
      <c r="B209" s="320"/>
      <c r="C209" s="337"/>
      <c r="D209" s="449"/>
      <c r="E209" s="318"/>
      <c r="F209" s="318"/>
      <c r="G209" s="413"/>
      <c r="H209" s="413"/>
      <c r="I209" s="375"/>
      <c r="J209" s="375"/>
      <c r="K209" s="413"/>
      <c r="L209" s="413"/>
      <c r="M209" s="16"/>
    </row>
    <row r="210" spans="1:13" ht="15">
      <c r="A210" s="318"/>
      <c r="B210" s="320">
        <f>+B208+1</f>
        <v>138</v>
      </c>
      <c r="C210" s="337"/>
      <c r="D210" s="473" t="s">
        <v>621</v>
      </c>
      <c r="E210" s="318"/>
      <c r="F210" s="438"/>
      <c r="G210" s="333">
        <f>-'WS D IPP Credits'!C11</f>
        <v>0</v>
      </c>
      <c r="H210" s="333"/>
      <c r="I210" s="419" t="s">
        <v>651</v>
      </c>
      <c r="J210" s="331">
        <v>1</v>
      </c>
      <c r="K210" s="442"/>
      <c r="L210" s="413">
        <f>+J210*G210</f>
        <v>0</v>
      </c>
      <c r="M210" s="22"/>
    </row>
    <row r="211" spans="1:13" ht="15">
      <c r="A211" s="318"/>
      <c r="B211" s="320"/>
      <c r="C211" s="337"/>
      <c r="D211" s="473"/>
      <c r="E211" s="318"/>
      <c r="F211" s="438"/>
      <c r="G211" s="333"/>
      <c r="H211" s="333"/>
      <c r="I211" s="419"/>
      <c r="J211" s="331"/>
      <c r="K211" s="442"/>
      <c r="L211" s="413"/>
      <c r="M211" s="22"/>
    </row>
    <row r="212" spans="1:13" ht="15">
      <c r="A212" s="318"/>
      <c r="B212" s="320">
        <f>+B210+1</f>
        <v>139</v>
      </c>
      <c r="C212" s="337"/>
      <c r="D212" s="473" t="str">
        <f>"(Gains) / Losses on Sales of Plant Held for Future Use (Worksheet N, ln "&amp;'WS N - Sale of Plant Held'!A31&amp;", Cols. ("&amp;'WS N - Sale of Plant Held'!O10&amp;" &amp; "&amp;'WS N - Sale of Plant Held'!S10&amp;")"</f>
        <v>(Gains) / Losses on Sales of Plant Held for Future Use (Worksheet N, ln 4, Cols. ((F) &amp; (H))</v>
      </c>
      <c r="E212" s="376"/>
      <c r="F212" s="392"/>
      <c r="G212" s="333">
        <f>+'WS N - Sale of Plant Held'!O31</f>
        <v>0</v>
      </c>
      <c r="H212" s="333"/>
      <c r="I212" s="474"/>
      <c r="J212" s="331"/>
      <c r="K212" s="395"/>
      <c r="L212" s="333">
        <f>'WS N - Sale of Plant Held'!S31</f>
        <v>0</v>
      </c>
      <c r="M212" s="129"/>
    </row>
    <row r="213" spans="1:13" ht="15">
      <c r="A213" s="318"/>
      <c r="B213" s="320"/>
      <c r="C213" s="337"/>
      <c r="D213" s="473"/>
      <c r="E213" s="376"/>
      <c r="F213" s="392"/>
      <c r="G213" s="333"/>
      <c r="H213" s="333"/>
      <c r="I213" s="474"/>
      <c r="J213" s="331"/>
      <c r="K213" s="395"/>
      <c r="L213" s="333"/>
      <c r="M213" s="129"/>
    </row>
    <row r="214" spans="1:13" ht="15">
      <c r="A214" s="318"/>
      <c r="B214" s="320">
        <f>+B212+1</f>
        <v>140</v>
      </c>
      <c r="C214" s="337"/>
      <c r="D214" s="473" t="str">
        <f>" Tax Impact on Net Loss / (Gain) on Sales of Plant Held for Future Use (ln "&amp;B212&amp;" * ln"&amp;B195&amp;")"</f>
        <v> Tax Impact on Net Loss / (Gain) on Sales of Plant Held for Future Use (ln 139 * ln125)</v>
      </c>
      <c r="E214" s="376"/>
      <c r="F214" s="392"/>
      <c r="G214" s="333">
        <f>-+G195*G212</f>
        <v>0</v>
      </c>
      <c r="H214" s="333"/>
      <c r="I214" s="474"/>
      <c r="J214" s="331"/>
      <c r="K214" s="395"/>
      <c r="L214" s="333">
        <f>L212*-G195</f>
        <v>0</v>
      </c>
      <c r="M214" s="129"/>
    </row>
    <row r="215" spans="1:13" ht="15.75" thickBot="1">
      <c r="A215" s="318"/>
      <c r="B215" s="320"/>
      <c r="C215" s="337"/>
      <c r="D215" s="398"/>
      <c r="E215" s="318"/>
      <c r="F215" s="318"/>
      <c r="G215" s="420"/>
      <c r="H215" s="475"/>
      <c r="I215" s="375"/>
      <c r="J215" s="375"/>
      <c r="K215" s="413"/>
      <c r="L215" s="420"/>
      <c r="M215" s="16"/>
    </row>
    <row r="216" spans="1:13" ht="15.75" thickBot="1">
      <c r="A216" s="318"/>
      <c r="B216" s="320">
        <f>+B214+1</f>
        <v>141</v>
      </c>
      <c r="C216" s="337"/>
      <c r="D216" s="318" t="s">
        <v>91</v>
      </c>
      <c r="E216" s="318"/>
      <c r="F216" s="318"/>
      <c r="G216" s="476">
        <f>+G210+G208+G206+G191+G182+G172+G212+G214</f>
        <v>102497.77917019345</v>
      </c>
      <c r="H216" s="318"/>
      <c r="I216" s="318"/>
      <c r="J216" s="318"/>
      <c r="K216" s="318"/>
      <c r="L216" s="476">
        <f>+L210+L208+L206+L191+L182+L172+L212+L214</f>
        <v>98422.5131624638</v>
      </c>
      <c r="M216" s="16"/>
    </row>
    <row r="217" spans="1:13" ht="15.75" thickTop="1">
      <c r="A217" s="318"/>
      <c r="B217" s="320"/>
      <c r="C217" s="337"/>
      <c r="D217" s="340" t="str">
        <f>"    (sum lns "&amp;B172&amp;", "&amp;B182&amp;", "&amp;B191&amp;", "&amp;B206&amp;", "&amp;B208&amp;", "&amp;B210&amp;", "&amp;B212&amp;", "&amp;B214&amp;")"</f>
        <v>    (sum lns 105, 114, 122, 136, 137, 138, 139, 140)</v>
      </c>
      <c r="E217" s="318"/>
      <c r="F217" s="477"/>
      <c r="G217" s="318"/>
      <c r="H217" s="318"/>
      <c r="I217" s="318"/>
      <c r="J217" s="318"/>
      <c r="K217" s="318"/>
      <c r="L217" s="318"/>
      <c r="M217" s="16"/>
    </row>
    <row r="218" spans="1:13" ht="15">
      <c r="A218" s="318"/>
      <c r="B218" s="320"/>
      <c r="C218" s="337"/>
      <c r="D218" s="318"/>
      <c r="E218" s="318"/>
      <c r="F218" s="477"/>
      <c r="G218" s="318"/>
      <c r="H218" s="318"/>
      <c r="I218" s="318"/>
      <c r="J218" s="318"/>
      <c r="K218" s="318"/>
      <c r="L218" s="318"/>
      <c r="M218" s="16"/>
    </row>
    <row r="219" spans="1:13" ht="15">
      <c r="A219" s="318"/>
      <c r="B219" s="320"/>
      <c r="C219" s="337"/>
      <c r="D219" s="340"/>
      <c r="E219" s="318"/>
      <c r="F219" s="424" t="str">
        <f>F133</f>
        <v>AEPTCo subsidiaries in PJM</v>
      </c>
      <c r="G219" s="318"/>
      <c r="H219" s="318"/>
      <c r="I219" s="318"/>
      <c r="J219" s="318"/>
      <c r="K219" s="318"/>
      <c r="L219" s="318"/>
      <c r="M219" s="28"/>
    </row>
    <row r="220" spans="1:13" ht="15">
      <c r="A220" s="318"/>
      <c r="B220" s="320"/>
      <c r="C220" s="337"/>
      <c r="D220" s="340"/>
      <c r="E220" s="318"/>
      <c r="F220" s="424" t="str">
        <f>F134</f>
        <v>Transmission Cost of Service Formula Rate</v>
      </c>
      <c r="G220" s="318"/>
      <c r="H220" s="318"/>
      <c r="I220" s="318"/>
      <c r="J220" s="318"/>
      <c r="K220" s="318"/>
      <c r="L220" s="318"/>
      <c r="M220" s="28"/>
    </row>
    <row r="221" spans="1:13" ht="15">
      <c r="A221" s="318"/>
      <c r="B221" s="318"/>
      <c r="C221" s="337"/>
      <c r="D221" s="318"/>
      <c r="E221" s="318"/>
      <c r="F221" s="424" t="str">
        <f>F135</f>
        <v>Utilizing  Actual/Projected FERC Form 1 Data</v>
      </c>
      <c r="G221" s="318"/>
      <c r="H221" s="318"/>
      <c r="I221" s="318"/>
      <c r="J221" s="318"/>
      <c r="K221" s="318"/>
      <c r="L221" s="318"/>
      <c r="M221" s="51"/>
    </row>
    <row r="222" spans="1:13" ht="15">
      <c r="A222" s="318"/>
      <c r="B222" s="320"/>
      <c r="C222" s="337"/>
      <c r="D222" s="318"/>
      <c r="E222" s="424"/>
      <c r="F222" s="424"/>
      <c r="G222" s="424"/>
      <c r="H222" s="424"/>
      <c r="I222" s="424"/>
      <c r="J222" s="424"/>
      <c r="K222" s="424"/>
      <c r="L222" s="318"/>
      <c r="M222" s="16"/>
    </row>
    <row r="223" spans="1:13" ht="15">
      <c r="A223" s="318"/>
      <c r="B223" s="320"/>
      <c r="C223" s="337"/>
      <c r="D223" s="318"/>
      <c r="E223" s="340"/>
      <c r="F223" s="424" t="str">
        <f>F137</f>
        <v>AEP APPALACHIAN TRANSMISSION COMPANY</v>
      </c>
      <c r="G223" s="340"/>
      <c r="H223" s="340"/>
      <c r="I223" s="340"/>
      <c r="J223" s="340"/>
      <c r="K223" s="340"/>
      <c r="L223" s="340"/>
      <c r="M223" s="14"/>
    </row>
    <row r="224" spans="1:13" ht="15">
      <c r="A224" s="318"/>
      <c r="B224" s="320"/>
      <c r="C224" s="337"/>
      <c r="D224" s="318"/>
      <c r="E224" s="340"/>
      <c r="F224" s="424"/>
      <c r="G224" s="340"/>
      <c r="H224" s="340"/>
      <c r="I224" s="340"/>
      <c r="J224" s="340"/>
      <c r="K224" s="340"/>
      <c r="L224" s="340"/>
      <c r="M224" s="14"/>
    </row>
    <row r="225" spans="1:13" ht="15.75">
      <c r="A225" s="318"/>
      <c r="B225" s="320"/>
      <c r="C225" s="337"/>
      <c r="D225" s="318"/>
      <c r="E225" s="318"/>
      <c r="F225" s="427" t="s">
        <v>593</v>
      </c>
      <c r="G225" s="318"/>
      <c r="H225" s="323"/>
      <c r="I225" s="323"/>
      <c r="J225" s="323"/>
      <c r="K225" s="323"/>
      <c r="L225" s="323"/>
      <c r="M225" s="16"/>
    </row>
    <row r="226" spans="1:13" ht="15.75">
      <c r="A226" s="318"/>
      <c r="B226" s="320"/>
      <c r="C226" s="337"/>
      <c r="D226" s="478"/>
      <c r="E226" s="323"/>
      <c r="F226" s="323"/>
      <c r="G226" s="323"/>
      <c r="H226" s="323"/>
      <c r="I226" s="323"/>
      <c r="J226" s="323"/>
      <c r="K226" s="323"/>
      <c r="L226" s="323"/>
      <c r="M226" s="16"/>
    </row>
    <row r="227" spans="1:15" ht="15.75">
      <c r="A227" s="318"/>
      <c r="B227" s="320" t="s">
        <v>639</v>
      </c>
      <c r="C227" s="337"/>
      <c r="D227" s="478"/>
      <c r="E227" s="323"/>
      <c r="F227" s="323"/>
      <c r="G227" s="323"/>
      <c r="H227" s="323"/>
      <c r="I227" s="323"/>
      <c r="J227" s="323"/>
      <c r="K227" s="323"/>
      <c r="L227" s="323"/>
      <c r="M227" s="16"/>
      <c r="N227" s="27"/>
      <c r="O227" s="27"/>
    </row>
    <row r="228" spans="1:16" ht="15.75" thickBot="1">
      <c r="A228" s="318"/>
      <c r="B228" s="356" t="s">
        <v>640</v>
      </c>
      <c r="C228" s="357"/>
      <c r="D228" s="336" t="s">
        <v>767</v>
      </c>
      <c r="E228" s="322"/>
      <c r="F228" s="322"/>
      <c r="G228" s="322"/>
      <c r="H228" s="322"/>
      <c r="I228" s="322"/>
      <c r="J228" s="322"/>
      <c r="K228" s="376"/>
      <c r="L228" s="318"/>
      <c r="M228" s="16"/>
      <c r="N228" s="27"/>
      <c r="O228" s="27"/>
      <c r="P228"/>
    </row>
    <row r="229" spans="1:16" ht="15">
      <c r="A229" s="318"/>
      <c r="B229" s="320">
        <f>+B216+1</f>
        <v>142</v>
      </c>
      <c r="C229" s="337"/>
      <c r="D229" s="322" t="s">
        <v>687</v>
      </c>
      <c r="E229" s="479" t="str">
        <f>"(ln "&amp;B63&amp;")"</f>
        <v>(ln 21)</v>
      </c>
      <c r="F229" s="480"/>
      <c r="G229" s="318"/>
      <c r="H229" s="481"/>
      <c r="I229" s="481"/>
      <c r="J229" s="481"/>
      <c r="K229" s="481"/>
      <c r="L229" s="362">
        <f>+G63</f>
        <v>23313.5</v>
      </c>
      <c r="M229" s="16"/>
      <c r="N229" s="27"/>
      <c r="O229" s="27"/>
      <c r="P229"/>
    </row>
    <row r="230" spans="1:16" ht="15">
      <c r="A230" s="318"/>
      <c r="B230" s="320">
        <f>+B229+1</f>
        <v>143</v>
      </c>
      <c r="C230" s="337"/>
      <c r="D230" s="322" t="s">
        <v>290</v>
      </c>
      <c r="E230" s="482"/>
      <c r="F230" s="482"/>
      <c r="G230" s="483"/>
      <c r="H230" s="482"/>
      <c r="I230" s="482"/>
      <c r="J230" s="482"/>
      <c r="K230" s="482"/>
      <c r="L230" s="300">
        <v>0</v>
      </c>
      <c r="M230" s="16"/>
      <c r="P230"/>
    </row>
    <row r="231" spans="1:16" ht="36" customHeight="1" thickBot="1">
      <c r="A231" s="318"/>
      <c r="B231" s="320">
        <f>+B230+1</f>
        <v>144</v>
      </c>
      <c r="C231" s="337"/>
      <c r="D231" s="480" t="str">
        <f>"  Less transmission plant included in OATT Ancillary Services (Worksheet A, ln "&amp;'WS A  - RB Support '!A63&amp;", Col. "&amp;'WS A  - RB Support '!E6&amp;")  (Note Q)"</f>
        <v>  Less transmission plant included in OATT Ancillary Services (Worksheet A, ln 23, Col. (C))  (Note Q)</v>
      </c>
      <c r="E231" s="480"/>
      <c r="F231" s="480"/>
      <c r="G231" s="388"/>
      <c r="H231" s="481"/>
      <c r="I231" s="481"/>
      <c r="J231" s="388"/>
      <c r="K231" s="481"/>
      <c r="L231" s="420">
        <f>+'WS A  - RB Support '!G63</f>
        <v>0</v>
      </c>
      <c r="M231" s="16"/>
      <c r="P231"/>
    </row>
    <row r="232" spans="1:16" ht="15">
      <c r="A232" s="318"/>
      <c r="B232" s="320">
        <f>+B231+1</f>
        <v>145</v>
      </c>
      <c r="C232" s="337"/>
      <c r="D232" s="322" t="s">
        <v>768</v>
      </c>
      <c r="E232" s="484" t="str">
        <f>"(ln "&amp;B229&amp;" - ln "&amp;B230&amp;" - ln "&amp;B231&amp;")"</f>
        <v>(ln 142 - ln 143 - ln 144)</v>
      </c>
      <c r="F232" s="480"/>
      <c r="G232" s="318"/>
      <c r="H232" s="481"/>
      <c r="I232" s="481"/>
      <c r="J232" s="388"/>
      <c r="K232" s="481"/>
      <c r="L232" s="362">
        <f>L229-L230-L231</f>
        <v>23313.5</v>
      </c>
      <c r="M232" s="16"/>
      <c r="P232"/>
    </row>
    <row r="233" spans="1:16" ht="9" customHeight="1">
      <c r="A233" s="318"/>
      <c r="B233" s="320"/>
      <c r="C233" s="337"/>
      <c r="D233" s="376"/>
      <c r="E233" s="480"/>
      <c r="F233" s="480"/>
      <c r="G233" s="388"/>
      <c r="H233" s="481"/>
      <c r="I233" s="481"/>
      <c r="J233" s="388"/>
      <c r="K233" s="481"/>
      <c r="L233" s="482"/>
      <c r="M233" s="16"/>
      <c r="P233"/>
    </row>
    <row r="234" spans="1:16" ht="15.75" customHeight="1">
      <c r="A234" s="318"/>
      <c r="B234" s="320">
        <f>+B232+1</f>
        <v>146</v>
      </c>
      <c r="C234" s="337"/>
      <c r="D234" s="322" t="s">
        <v>769</v>
      </c>
      <c r="E234" s="485" t="str">
        <f>"(ln "&amp;B232&amp;" / ln "&amp;B229&amp;")"</f>
        <v>(ln 145 / ln 142)</v>
      </c>
      <c r="F234" s="486"/>
      <c r="G234" s="318"/>
      <c r="H234" s="487"/>
      <c r="I234" s="488"/>
      <c r="J234" s="488"/>
      <c r="K234" s="489" t="s">
        <v>664</v>
      </c>
      <c r="L234" s="490">
        <f>IF(L229=0,1,L232/L229)</f>
        <v>1</v>
      </c>
      <c r="M234" s="16"/>
      <c r="P234"/>
    </row>
    <row r="235" spans="1:13" ht="15.75">
      <c r="A235" s="318"/>
      <c r="B235" s="320"/>
      <c r="C235" s="337"/>
      <c r="D235" s="491"/>
      <c r="E235" s="322"/>
      <c r="F235" s="322"/>
      <c r="G235" s="492"/>
      <c r="H235" s="322"/>
      <c r="I235" s="326"/>
      <c r="J235" s="322"/>
      <c r="K235" s="322"/>
      <c r="L235" s="323"/>
      <c r="M235" s="16"/>
    </row>
    <row r="236" spans="1:13" ht="30">
      <c r="A236" s="318"/>
      <c r="B236" s="320">
        <f>B234+1</f>
        <v>147</v>
      </c>
      <c r="C236" s="326"/>
      <c r="D236" s="336" t="s">
        <v>594</v>
      </c>
      <c r="E236" s="330" t="s">
        <v>191</v>
      </c>
      <c r="F236" s="330" t="s">
        <v>725</v>
      </c>
      <c r="G236" s="493" t="s">
        <v>761</v>
      </c>
      <c r="H236" s="425" t="s">
        <v>641</v>
      </c>
      <c r="I236" s="364"/>
      <c r="J236" s="349"/>
      <c r="K236" s="349"/>
      <c r="L236" s="349"/>
      <c r="M236" s="16"/>
    </row>
    <row r="237" spans="1:13" ht="15">
      <c r="A237" s="318"/>
      <c r="B237" s="320">
        <f aca="true" t="shared" si="12" ref="B237:B242">+B236+1</f>
        <v>148</v>
      </c>
      <c r="C237" s="326"/>
      <c r="D237" s="389" t="s">
        <v>471</v>
      </c>
      <c r="E237" s="329"/>
      <c r="F237" s="329"/>
      <c r="G237" s="333"/>
      <c r="H237" s="333"/>
      <c r="I237" s="330"/>
      <c r="J237" s="331"/>
      <c r="K237" s="329"/>
      <c r="L237" s="333"/>
      <c r="M237" s="16"/>
    </row>
    <row r="238" spans="1:13" ht="15">
      <c r="A238" s="318"/>
      <c r="B238" s="320">
        <f t="shared" si="12"/>
        <v>149</v>
      </c>
      <c r="C238" s="326"/>
      <c r="D238" s="396" t="s">
        <v>650</v>
      </c>
      <c r="E238" s="329" t="s">
        <v>568</v>
      </c>
      <c r="F238" s="300">
        <v>0</v>
      </c>
      <c r="G238" s="299">
        <v>2179</v>
      </c>
      <c r="H238" s="494">
        <f>+F238+G238</f>
        <v>2179</v>
      </c>
      <c r="I238" s="326" t="s">
        <v>643</v>
      </c>
      <c r="J238" s="331">
        <f>L234</f>
        <v>1</v>
      </c>
      <c r="K238" s="495"/>
      <c r="L238" s="413">
        <f>(F238+G238)*J238</f>
        <v>2179</v>
      </c>
      <c r="M238" s="16"/>
    </row>
    <row r="239" spans="1:13" ht="15">
      <c r="A239" s="318"/>
      <c r="B239" s="320">
        <f t="shared" si="12"/>
        <v>150</v>
      </c>
      <c r="C239" s="326"/>
      <c r="D239" s="396" t="s">
        <v>807</v>
      </c>
      <c r="E239" s="349" t="s">
        <v>356</v>
      </c>
      <c r="F239" s="300">
        <v>0</v>
      </c>
      <c r="G239" s="300">
        <v>0</v>
      </c>
      <c r="H239" s="413">
        <f>+F239+G239</f>
        <v>0</v>
      </c>
      <c r="I239" s="364" t="s">
        <v>649</v>
      </c>
      <c r="J239" s="331">
        <v>0</v>
      </c>
      <c r="K239" s="495"/>
      <c r="L239" s="413">
        <f>(F239+G239)*J239</f>
        <v>0</v>
      </c>
      <c r="M239" s="16"/>
    </row>
    <row r="240" spans="1:13" ht="15">
      <c r="A240" s="318"/>
      <c r="B240" s="320">
        <f t="shared" si="12"/>
        <v>151</v>
      </c>
      <c r="C240" s="326"/>
      <c r="D240" s="389" t="s">
        <v>471</v>
      </c>
      <c r="E240" s="329"/>
      <c r="F240" s="329"/>
      <c r="G240" s="333"/>
      <c r="H240" s="333"/>
      <c r="I240" s="330"/>
      <c r="J240" s="331"/>
      <c r="K240" s="329"/>
      <c r="L240" s="333"/>
      <c r="M240" s="16"/>
    </row>
    <row r="241" spans="1:13" ht="15.75" thickBot="1">
      <c r="A241" s="318"/>
      <c r="B241" s="320">
        <f t="shared" si="12"/>
        <v>152</v>
      </c>
      <c r="C241" s="326"/>
      <c r="D241" s="396" t="s">
        <v>734</v>
      </c>
      <c r="E241" s="349" t="s">
        <v>292</v>
      </c>
      <c r="F241" s="298">
        <v>0</v>
      </c>
      <c r="G241" s="298">
        <v>62</v>
      </c>
      <c r="H241" s="420">
        <f>+F241+G241</f>
        <v>62</v>
      </c>
      <c r="I241" s="364" t="s">
        <v>649</v>
      </c>
      <c r="J241" s="331">
        <v>0</v>
      </c>
      <c r="K241" s="495"/>
      <c r="L241" s="420">
        <f>(F241+G241)*J241</f>
        <v>0</v>
      </c>
      <c r="M241" s="16"/>
    </row>
    <row r="242" spans="1:13" ht="15.75">
      <c r="A242" s="318"/>
      <c r="B242" s="320">
        <f t="shared" si="12"/>
        <v>153</v>
      </c>
      <c r="C242" s="326"/>
      <c r="D242" s="396" t="s">
        <v>641</v>
      </c>
      <c r="E242" s="329" t="str">
        <f>"(sum lns "&amp;B238&amp;", "&amp;B239&amp;", &amp; "&amp;B241&amp;")"</f>
        <v>(sum lns 149, 150, &amp; 152)</v>
      </c>
      <c r="F242" s="413">
        <f>SUM(F237:F241)</f>
        <v>0</v>
      </c>
      <c r="G242" s="329">
        <f>SUM(G237:G241)</f>
        <v>2241</v>
      </c>
      <c r="H242" s="329">
        <f>SUM(H237:H241)</f>
        <v>2241</v>
      </c>
      <c r="I242" s="364"/>
      <c r="J242" s="349"/>
      <c r="K242" s="349"/>
      <c r="L242" s="413">
        <f>SUM(L237:L241)</f>
        <v>2179</v>
      </c>
      <c r="M242" s="21"/>
    </row>
    <row r="243" spans="1:13" ht="15">
      <c r="A243" s="318"/>
      <c r="B243" s="320"/>
      <c r="C243" s="326"/>
      <c r="D243" s="396" t="s">
        <v>637</v>
      </c>
      <c r="E243" s="329" t="s">
        <v>637</v>
      </c>
      <c r="F243" s="329"/>
      <c r="G243" s="376"/>
      <c r="H243" s="329"/>
      <c r="I243" s="424"/>
      <c r="J243" s="318"/>
      <c r="K243" s="318"/>
      <c r="L243" s="318"/>
      <c r="M243" s="11"/>
    </row>
    <row r="244" spans="1:13" ht="15.75">
      <c r="A244" s="318"/>
      <c r="B244" s="320">
        <f>B242+1</f>
        <v>154</v>
      </c>
      <c r="C244" s="337"/>
      <c r="D244" s="398" t="s">
        <v>597</v>
      </c>
      <c r="E244" s="329"/>
      <c r="F244" s="329"/>
      <c r="G244" s="329"/>
      <c r="H244" s="329"/>
      <c r="I244" s="424"/>
      <c r="J244" s="318"/>
      <c r="K244" s="496" t="s">
        <v>598</v>
      </c>
      <c r="L244" s="497">
        <f>L242/(F242+G242)</f>
        <v>0.9723337795626952</v>
      </c>
      <c r="M244" s="11"/>
    </row>
    <row r="245" spans="1:13" ht="15.75">
      <c r="A245" s="318"/>
      <c r="B245" s="320"/>
      <c r="C245" s="337"/>
      <c r="D245" s="398"/>
      <c r="E245" s="329"/>
      <c r="F245" s="329"/>
      <c r="G245" s="329"/>
      <c r="H245" s="329"/>
      <c r="I245" s="424"/>
      <c r="J245" s="318"/>
      <c r="K245" s="496"/>
      <c r="L245" s="497"/>
      <c r="M245" s="11"/>
    </row>
    <row r="246" spans="1:13" ht="15.75">
      <c r="A246" s="318"/>
      <c r="B246" s="320"/>
      <c r="C246" s="337"/>
      <c r="D246" s="498" t="s">
        <v>927</v>
      </c>
      <c r="E246" s="329"/>
      <c r="F246" s="329"/>
      <c r="G246" s="329"/>
      <c r="H246" s="329"/>
      <c r="I246" s="364"/>
      <c r="J246" s="349"/>
      <c r="K246" s="349"/>
      <c r="L246" s="349"/>
      <c r="M246" s="16"/>
    </row>
    <row r="247" spans="1:13" ht="15.75" thickBot="1">
      <c r="A247" s="318"/>
      <c r="B247" s="320">
        <f>B244+1</f>
        <v>155</v>
      </c>
      <c r="C247" s="337"/>
      <c r="D247" s="396" t="s">
        <v>731</v>
      </c>
      <c r="E247" s="329"/>
      <c r="F247" s="329"/>
      <c r="G247" s="329"/>
      <c r="H247" s="329"/>
      <c r="I247" s="329"/>
      <c r="J247" s="329"/>
      <c r="K247" s="329"/>
      <c r="L247" s="499" t="s">
        <v>665</v>
      </c>
      <c r="M247" s="16"/>
    </row>
    <row r="248" spans="1:24" ht="15.75">
      <c r="A248" s="318"/>
      <c r="B248" s="320">
        <f>B247+1</f>
        <v>156</v>
      </c>
      <c r="C248" s="337"/>
      <c r="D248" s="329" t="s">
        <v>765</v>
      </c>
      <c r="E248" s="376" t="str">
        <f>"(Worksheet M, ln."&amp;'WS M - Avg Cap Structure'!A36&amp;", col."&amp;'WS M - Avg Cap Structure'!E6&amp;")"</f>
        <v>(Worksheet M, ln.20, col.(E))</v>
      </c>
      <c r="F248" s="329"/>
      <c r="G248" s="329"/>
      <c r="H248" s="329"/>
      <c r="I248" s="329"/>
      <c r="J248" s="429" t="s">
        <v>637</v>
      </c>
      <c r="K248" s="329"/>
      <c r="L248" s="500">
        <f>'WS M - Avg Cap Structure'!E36</f>
        <v>41250</v>
      </c>
      <c r="M248" s="18"/>
      <c r="N248" s="27"/>
      <c r="O248" s="27"/>
      <c r="P248" s="27"/>
      <c r="Q248" s="27"/>
      <c r="R248" s="27"/>
      <c r="S248" s="27"/>
      <c r="T248" s="27"/>
      <c r="U248" s="27"/>
      <c r="V248" s="27"/>
      <c r="W248" s="27"/>
      <c r="X248" s="27"/>
    </row>
    <row r="249" spans="1:24" ht="15">
      <c r="A249" s="318"/>
      <c r="B249" s="320">
        <f aca="true" t="shared" si="13" ref="B249:B255">B248+1</f>
        <v>157</v>
      </c>
      <c r="C249" s="337"/>
      <c r="D249" s="329" t="s">
        <v>766</v>
      </c>
      <c r="E249" s="376" t="str">
        <f>"(Worksheet M, ln. "&amp;'WS M - Avg Cap Structure'!A78&amp;", col."&amp;'WS M - Avg Cap Structure'!E6&amp;")"</f>
        <v>(Worksheet M, ln. 49, col.(E))</v>
      </c>
      <c r="F249" s="329"/>
      <c r="G249" s="329"/>
      <c r="H249" s="329"/>
      <c r="I249" s="329"/>
      <c r="J249" s="329"/>
      <c r="K249" s="329"/>
      <c r="L249" s="333">
        <f>'WS M - Avg Cap Structure'!E78</f>
        <v>0</v>
      </c>
      <c r="M249" s="18"/>
      <c r="N249" s="27"/>
      <c r="O249" s="27"/>
      <c r="P249" s="27"/>
      <c r="Q249" s="27"/>
      <c r="R249" s="27"/>
      <c r="S249" s="27"/>
      <c r="T249" s="27"/>
      <c r="U249" s="27"/>
      <c r="V249" s="27"/>
      <c r="W249" s="27"/>
      <c r="X249" s="27"/>
    </row>
    <row r="250" spans="1:13" ht="15">
      <c r="A250" s="318"/>
      <c r="B250" s="320">
        <f t="shared" si="13"/>
        <v>158</v>
      </c>
      <c r="C250" s="337"/>
      <c r="D250" s="501" t="s">
        <v>83</v>
      </c>
      <c r="E250" s="329"/>
      <c r="F250" s="329"/>
      <c r="G250" s="329"/>
      <c r="H250" s="502"/>
      <c r="I250" s="329"/>
      <c r="J250" s="329"/>
      <c r="K250" s="329"/>
      <c r="L250" s="333"/>
      <c r="M250" s="16"/>
    </row>
    <row r="251" spans="1:13" ht="15">
      <c r="A251" s="318"/>
      <c r="B251" s="320">
        <f t="shared" si="13"/>
        <v>159</v>
      </c>
      <c r="C251" s="337"/>
      <c r="D251" s="329" t="s">
        <v>84</v>
      </c>
      <c r="E251" s="376" t="str">
        <f>"(Worksheet M, ln. "&amp;'WS M - Avg Cap Structure'!A11&amp;", col."&amp;'WS M - Avg Cap Structure'!E6&amp;")"</f>
        <v>(Worksheet M, ln. 1, col.(E))</v>
      </c>
      <c r="F251" s="329"/>
      <c r="G251" s="322"/>
      <c r="H251" s="502"/>
      <c r="I251" s="329"/>
      <c r="J251" s="329"/>
      <c r="K251" s="329"/>
      <c r="L251" s="571">
        <f>'WS M - Avg Cap Structure'!E11</f>
        <v>3061291</v>
      </c>
      <c r="M251" s="16"/>
    </row>
    <row r="252" spans="1:13" ht="15">
      <c r="A252" s="318"/>
      <c r="B252" s="320">
        <f t="shared" si="13"/>
        <v>160</v>
      </c>
      <c r="C252" s="337"/>
      <c r="D252" s="329" t="s">
        <v>227</v>
      </c>
      <c r="E252" s="376" t="str">
        <f>"(Worksheet M, ln. "&amp;'WS M - Avg Cap Structure'!A12&amp;", col."&amp;'WS M - Avg Cap Structure'!E6&amp;")"</f>
        <v>(Worksheet M, ln. 2, col.(E))</v>
      </c>
      <c r="F252" s="329"/>
      <c r="G252" s="329"/>
      <c r="H252" s="502"/>
      <c r="I252" s="329"/>
      <c r="J252" s="329"/>
      <c r="K252" s="329"/>
      <c r="L252" s="571">
        <f>'WS M - Avg Cap Structure'!E12</f>
        <v>0</v>
      </c>
      <c r="M252" s="16"/>
    </row>
    <row r="253" spans="1:13" ht="15">
      <c r="A253" s="318"/>
      <c r="B253" s="320">
        <f t="shared" si="13"/>
        <v>161</v>
      </c>
      <c r="C253" s="337"/>
      <c r="D253" s="329" t="s">
        <v>220</v>
      </c>
      <c r="E253" s="376" t="str">
        <f>"(Worksheet M, ln. "&amp;'WS M - Avg Cap Structure'!A13&amp;", col."&amp;'WS M - Avg Cap Structure'!E6&amp;")"</f>
        <v>(Worksheet M, ln. 3, col.(E))</v>
      </c>
      <c r="F253" s="329"/>
      <c r="G253" s="329"/>
      <c r="H253" s="502"/>
      <c r="I253" s="329"/>
      <c r="J253" s="329"/>
      <c r="K253" s="329"/>
      <c r="L253" s="571">
        <f>'WS M - Avg Cap Structure'!E13</f>
        <v>0</v>
      </c>
      <c r="M253" s="16"/>
    </row>
    <row r="254" spans="1:13" ht="15">
      <c r="A254" s="318"/>
      <c r="B254" s="320">
        <f t="shared" si="13"/>
        <v>162</v>
      </c>
      <c r="C254" s="337"/>
      <c r="D254" s="329" t="s">
        <v>226</v>
      </c>
      <c r="E254" s="376" t="str">
        <f>"(Worksheet M, ln. "&amp;'WS M - Avg Cap Structure'!A14&amp;", col. "&amp;'WS M - Avg Cap Structure'!E6&amp;")"</f>
        <v>(Worksheet M, ln. 4, col. (E))</v>
      </c>
      <c r="F254" s="329"/>
      <c r="G254" s="329"/>
      <c r="H254" s="502"/>
      <c r="I254" s="329"/>
      <c r="J254" s="329"/>
      <c r="K254" s="329"/>
      <c r="L254" s="572">
        <f>'WS M - Avg Cap Structure'!E14</f>
        <v>0</v>
      </c>
      <c r="M254" s="16"/>
    </row>
    <row r="255" spans="1:13" ht="15">
      <c r="A255" s="318"/>
      <c r="B255" s="320">
        <f t="shared" si="13"/>
        <v>163</v>
      </c>
      <c r="C255" s="337"/>
      <c r="D255" s="318" t="s">
        <v>85</v>
      </c>
      <c r="E255" s="329" t="str">
        <f>"(ln "&amp;B251&amp;" - ln "&amp;B252&amp;" - ln "&amp;B253&amp;" - ln "&amp;B254&amp;")"</f>
        <v>(ln 159 - ln 160 - ln 161 - ln 162)</v>
      </c>
      <c r="F255" s="503"/>
      <c r="G255" s="376"/>
      <c r="H255" s="322"/>
      <c r="I255" s="322"/>
      <c r="J255" s="322"/>
      <c r="K255" s="322"/>
      <c r="L255" s="333">
        <f>L251-L252-L253-L254</f>
        <v>3061291</v>
      </c>
      <c r="M255" s="16"/>
    </row>
    <row r="256" spans="1:13" ht="15.75">
      <c r="A256" s="318"/>
      <c r="B256" s="320"/>
      <c r="C256" s="337"/>
      <c r="D256" s="396"/>
      <c r="E256" s="329"/>
      <c r="F256" s="329"/>
      <c r="G256" s="1228" t="s">
        <v>379</v>
      </c>
      <c r="H256" s="1228"/>
      <c r="I256" s="329"/>
      <c r="J256" s="424" t="s">
        <v>666</v>
      </c>
      <c r="K256" s="329"/>
      <c r="L256" s="329"/>
      <c r="M256" s="16"/>
    </row>
    <row r="257" spans="1:13" ht="15.75" thickBot="1">
      <c r="A257" s="318"/>
      <c r="B257" s="320"/>
      <c r="C257" s="337"/>
      <c r="D257" s="396"/>
      <c r="E257" s="329"/>
      <c r="F257" s="329"/>
      <c r="G257" s="504" t="s">
        <v>665</v>
      </c>
      <c r="H257" s="504" t="s">
        <v>667</v>
      </c>
      <c r="I257" s="329"/>
      <c r="J257" s="505" t="s">
        <v>826</v>
      </c>
      <c r="K257" s="329"/>
      <c r="L257" s="504" t="s">
        <v>668</v>
      </c>
      <c r="M257" s="16"/>
    </row>
    <row r="258" spans="1:13" ht="15.75">
      <c r="A258" s="318"/>
      <c r="B258" s="320">
        <f>B255+1</f>
        <v>164</v>
      </c>
      <c r="C258" s="337"/>
      <c r="D258" s="506" t="str">
        <f>"  Long Term Debt"</f>
        <v>  Long Term Debt</v>
      </c>
      <c r="E258" s="329"/>
      <c r="F258" s="429" t="s">
        <v>637</v>
      </c>
      <c r="G258" s="507">
        <f>'WS M - Avg Cap Structure'!E24</f>
        <v>3300000</v>
      </c>
      <c r="H258" s="508">
        <f>IF($G$261=0,0,G258/$G$261)</f>
        <v>0.5187626222413029</v>
      </c>
      <c r="I258" s="509"/>
      <c r="J258" s="508">
        <f>IF(G258=0,0,L248/G258)</f>
        <v>0.0125</v>
      </c>
      <c r="K258" s="376"/>
      <c r="L258" s="510">
        <f>H258*J258</f>
        <v>0.006484532778016286</v>
      </c>
      <c r="M258" s="16"/>
    </row>
    <row r="259" spans="1:13" ht="15">
      <c r="A259" s="318"/>
      <c r="B259" s="320">
        <f>B258+1</f>
        <v>165</v>
      </c>
      <c r="C259" s="337"/>
      <c r="D259" s="396" t="str">
        <f>"  Preferred Stock (ln "&amp;B252&amp;")"</f>
        <v>  Preferred Stock (ln 160)</v>
      </c>
      <c r="E259" s="329"/>
      <c r="F259" s="376"/>
      <c r="G259" s="333">
        <f>L252</f>
        <v>0</v>
      </c>
      <c r="H259" s="508">
        <f>IF($G$261=0,0,G259/$G$261)</f>
        <v>0</v>
      </c>
      <c r="I259" s="509"/>
      <c r="J259" s="508">
        <f>IF(G259=0,0,L249/G259)</f>
        <v>0</v>
      </c>
      <c r="K259" s="376"/>
      <c r="L259" s="511">
        <f>H259*J259</f>
        <v>0</v>
      </c>
      <c r="M259" s="16"/>
    </row>
    <row r="260" spans="1:13" ht="15.75" thickBot="1">
      <c r="A260" s="318"/>
      <c r="B260" s="320">
        <f>B259+1</f>
        <v>166</v>
      </c>
      <c r="C260" s="337"/>
      <c r="D260" s="396" t="str">
        <f>"  Common Stock (ln "&amp;B255&amp;")"</f>
        <v>  Common Stock (ln 163)</v>
      </c>
      <c r="E260" s="329"/>
      <c r="F260" s="376"/>
      <c r="G260" s="399">
        <f>L255</f>
        <v>3061291</v>
      </c>
      <c r="H260" s="512">
        <f>IF($G$261=0,0,G260/$G$261)</f>
        <v>0.48123737775869707</v>
      </c>
      <c r="I260" s="509"/>
      <c r="J260" s="1187">
        <v>0.1149</v>
      </c>
      <c r="K260" s="376"/>
      <c r="L260" s="513">
        <f>H260*J260</f>
        <v>0.05529417470447429</v>
      </c>
      <c r="M260" s="16"/>
    </row>
    <row r="261" spans="1:13" ht="15.75">
      <c r="A261" s="318"/>
      <c r="B261" s="320">
        <f>B260+1</f>
        <v>167</v>
      </c>
      <c r="C261" s="337"/>
      <c r="D261" s="396" t="str">
        <f>" Total (Sum lns "&amp;B258&amp;" to "&amp;B260&amp;")"</f>
        <v> Total (Sum lns 164 to 166)</v>
      </c>
      <c r="E261" s="329"/>
      <c r="F261" s="376"/>
      <c r="G261" s="333">
        <f>SUM(G258:G260)</f>
        <v>6361291</v>
      </c>
      <c r="H261" s="373">
        <f>SUM(H258:H260)</f>
        <v>1</v>
      </c>
      <c r="I261" s="329"/>
      <c r="J261" s="514"/>
      <c r="K261" s="415" t="s">
        <v>581</v>
      </c>
      <c r="L261" s="515">
        <f>SUM(L258:L260)</f>
        <v>0.06177870748249058</v>
      </c>
      <c r="M261" s="16"/>
    </row>
    <row r="262" spans="1:13" ht="15">
      <c r="A262" s="318"/>
      <c r="B262" s="320"/>
      <c r="C262" s="337"/>
      <c r="D262" s="398"/>
      <c r="E262" s="329"/>
      <c r="F262" s="329"/>
      <c r="G262" s="329"/>
      <c r="H262" s="329"/>
      <c r="I262" s="364"/>
      <c r="J262" s="349"/>
      <c r="K262" s="349"/>
      <c r="L262" s="349"/>
      <c r="M262" s="16"/>
    </row>
    <row r="263" spans="1:13" ht="15.75">
      <c r="A263" s="318"/>
      <c r="B263" s="516"/>
      <c r="C263" s="517"/>
      <c r="D263" s="518" t="s">
        <v>302</v>
      </c>
      <c r="E263" s="519"/>
      <c r="F263" s="520"/>
      <c r="G263" s="521"/>
      <c r="H263" s="520"/>
      <c r="I263" s="520"/>
      <c r="J263" s="520"/>
      <c r="K263" s="522"/>
      <c r="L263" s="523"/>
      <c r="M263" s="16"/>
    </row>
    <row r="264" spans="1:13" ht="15.75" thickBot="1">
      <c r="A264" s="318"/>
      <c r="B264" s="516">
        <f>B261+1</f>
        <v>168</v>
      </c>
      <c r="C264" s="517"/>
      <c r="D264" s="524" t="s">
        <v>731</v>
      </c>
      <c r="E264" s="520"/>
      <c r="F264" s="520"/>
      <c r="G264" s="520"/>
      <c r="H264" s="520"/>
      <c r="I264" s="520"/>
      <c r="J264" s="520"/>
      <c r="K264" s="520"/>
      <c r="L264" s="525" t="s">
        <v>665</v>
      </c>
      <c r="M264" s="16"/>
    </row>
    <row r="265" spans="1:13" ht="15">
      <c r="A265" s="318"/>
      <c r="B265" s="516">
        <f aca="true" t="shared" si="14" ref="B265:B272">+B264+1</f>
        <v>169</v>
      </c>
      <c r="C265" s="517"/>
      <c r="D265" s="520" t="s">
        <v>765</v>
      </c>
      <c r="E265" s="521" t="str">
        <f>"(Worksheet Q, ln. "&amp;'WS Q Cap Structure'!A197&amp;")"</f>
        <v>(Worksheet Q, ln. 132)</v>
      </c>
      <c r="F265" s="520"/>
      <c r="G265" s="520"/>
      <c r="H265" s="520"/>
      <c r="I265" s="520"/>
      <c r="J265" s="520"/>
      <c r="K265" s="520"/>
      <c r="L265" s="526">
        <f>'WS Q Cap Structure'!J197</f>
        <v>450534104</v>
      </c>
      <c r="M265" s="16"/>
    </row>
    <row r="266" spans="1:13" ht="15">
      <c r="A266" s="318"/>
      <c r="B266" s="516">
        <f t="shared" si="14"/>
        <v>170</v>
      </c>
      <c r="C266" s="517"/>
      <c r="D266" s="520" t="s">
        <v>766</v>
      </c>
      <c r="E266" s="521" t="str">
        <f>"(Worksheet Q, ln. "&amp;'WS Q Cap Structure'!A201&amp;")"</f>
        <v>(Worksheet Q, ln. 134)</v>
      </c>
      <c r="F266" s="520"/>
      <c r="G266" s="520"/>
      <c r="H266" s="520"/>
      <c r="I266" s="520"/>
      <c r="J266" s="520"/>
      <c r="K266" s="520"/>
      <c r="L266" s="526">
        <f>'WS Q Cap Structure'!J201</f>
        <v>0</v>
      </c>
      <c r="M266" s="16"/>
    </row>
    <row r="267" spans="1:13" ht="15">
      <c r="A267" s="318"/>
      <c r="B267" s="516">
        <f t="shared" si="14"/>
        <v>171</v>
      </c>
      <c r="C267" s="517"/>
      <c r="D267" s="527" t="s">
        <v>83</v>
      </c>
      <c r="E267" s="520"/>
      <c r="F267" s="520"/>
      <c r="G267" s="520"/>
      <c r="H267" s="528"/>
      <c r="I267" s="520"/>
      <c r="J267" s="520"/>
      <c r="K267" s="520"/>
      <c r="L267" s="526"/>
      <c r="M267" s="16"/>
    </row>
    <row r="268" spans="1:13" ht="15">
      <c r="A268" s="318"/>
      <c r="B268" s="516">
        <f t="shared" si="14"/>
        <v>172</v>
      </c>
      <c r="C268" s="517"/>
      <c r="D268" s="520" t="s">
        <v>84</v>
      </c>
      <c r="E268" s="521" t="str">
        <f>"(Worksheet Q, ln. "&amp;'WS Q Cap Structure'!A204&amp;")"</f>
        <v>(Worksheet Q, ln. 135)</v>
      </c>
      <c r="F268" s="520"/>
      <c r="G268" s="529"/>
      <c r="H268" s="530"/>
      <c r="I268" s="520"/>
      <c r="J268" s="520"/>
      <c r="K268" s="520"/>
      <c r="L268" s="531">
        <f>'WS Q Cap Structure'!J204</f>
        <v>8345838048.5</v>
      </c>
      <c r="M268" s="16"/>
    </row>
    <row r="269" spans="1:13" ht="15">
      <c r="A269" s="318"/>
      <c r="B269" s="516">
        <f t="shared" si="14"/>
        <v>173</v>
      </c>
      <c r="C269" s="517"/>
      <c r="D269" s="520" t="s">
        <v>227</v>
      </c>
      <c r="E269" s="521" t="str">
        <f>"(Worksheet Q, ln. "&amp;'WS Q Cap Structure'!A205&amp;")"</f>
        <v>(Worksheet Q, ln. 136)</v>
      </c>
      <c r="F269" s="520"/>
      <c r="G269" s="520"/>
      <c r="H269" s="530"/>
      <c r="I269" s="520"/>
      <c r="J269" s="520"/>
      <c r="K269" s="520"/>
      <c r="L269" s="531">
        <f>'WS Q Cap Structure'!J205</f>
        <v>0</v>
      </c>
      <c r="M269" s="16"/>
    </row>
    <row r="270" spans="1:13" ht="15">
      <c r="A270" s="318"/>
      <c r="B270" s="516">
        <f>+B269+1</f>
        <v>174</v>
      </c>
      <c r="C270" s="517"/>
      <c r="D270" s="520" t="s">
        <v>220</v>
      </c>
      <c r="E270" s="521" t="str">
        <f>"(Worksheet Q, ln. "&amp;'WS Q Cap Structure'!A206&amp;")"</f>
        <v>(Worksheet Q, ln. 137)</v>
      </c>
      <c r="F270" s="520"/>
      <c r="G270" s="520"/>
      <c r="H270" s="530"/>
      <c r="I270" s="520"/>
      <c r="J270" s="520"/>
      <c r="K270" s="520"/>
      <c r="L270" s="531">
        <f>'WS Q Cap Structure'!J206</f>
        <v>6619045</v>
      </c>
      <c r="M270" s="16"/>
    </row>
    <row r="271" spans="1:13" ht="15">
      <c r="A271" s="318"/>
      <c r="B271" s="516">
        <f t="shared" si="14"/>
        <v>175</v>
      </c>
      <c r="C271" s="517"/>
      <c r="D271" s="520" t="s">
        <v>226</v>
      </c>
      <c r="E271" s="521" t="str">
        <f>"(Worksheet Q, ln. "&amp;'WS Q Cap Structure'!A207&amp;")"</f>
        <v>(Worksheet Q, ln. 138)</v>
      </c>
      <c r="F271" s="520"/>
      <c r="G271" s="520"/>
      <c r="H271" s="530"/>
      <c r="I271" s="520"/>
      <c r="J271" s="532"/>
      <c r="K271" s="520"/>
      <c r="L271" s="533">
        <f>'WS Q Cap Structure'!J207</f>
        <v>-13587599</v>
      </c>
      <c r="M271" s="16"/>
    </row>
    <row r="272" spans="1:13" ht="15">
      <c r="A272" s="318"/>
      <c r="B272" s="516">
        <f t="shared" si="14"/>
        <v>176</v>
      </c>
      <c r="C272" s="517"/>
      <c r="D272" s="521" t="s">
        <v>85</v>
      </c>
      <c r="E272" s="520" t="str">
        <f>"(ln "&amp;B268&amp;" - ln "&amp;B269&amp;" - ln "&amp;B270&amp;" - ln "&amp;B271&amp;")"</f>
        <v>(ln 172 - ln 173 - ln 174 - ln 175)</v>
      </c>
      <c r="F272" s="534"/>
      <c r="G272" s="521"/>
      <c r="H272" s="529"/>
      <c r="I272" s="529"/>
      <c r="J272" s="529"/>
      <c r="K272" s="529"/>
      <c r="L272" s="526">
        <f>+L268-L269-L270-L271</f>
        <v>8352806602.5</v>
      </c>
      <c r="M272" s="16"/>
    </row>
    <row r="273" spans="1:13" ht="15.75">
      <c r="A273" s="318"/>
      <c r="B273" s="516"/>
      <c r="C273" s="517"/>
      <c r="D273" s="524"/>
      <c r="E273" s="520"/>
      <c r="F273" s="520"/>
      <c r="G273" s="1227"/>
      <c r="H273" s="1227"/>
      <c r="I273" s="535"/>
      <c r="J273" s="521"/>
      <c r="K273" s="520"/>
      <c r="L273" s="520"/>
      <c r="M273" s="16"/>
    </row>
    <row r="274" spans="1:21" ht="15.75" thickBot="1">
      <c r="A274" s="318"/>
      <c r="B274" s="516">
        <f>+B272+1</f>
        <v>177</v>
      </c>
      <c r="C274" s="517"/>
      <c r="D274" s="524"/>
      <c r="E274" s="521"/>
      <c r="F274" s="521"/>
      <c r="G274" s="536" t="s">
        <v>667</v>
      </c>
      <c r="H274" s="536" t="s">
        <v>665</v>
      </c>
      <c r="I274" s="535"/>
      <c r="J274" s="537" t="s">
        <v>666</v>
      </c>
      <c r="K274" s="520"/>
      <c r="L274" s="536" t="s">
        <v>668</v>
      </c>
      <c r="M274" s="16"/>
      <c r="N274" s="20"/>
      <c r="O274" s="20"/>
      <c r="P274" s="20"/>
      <c r="Q274" s="20"/>
      <c r="R274" s="20"/>
      <c r="S274" s="20"/>
      <c r="T274" s="20"/>
      <c r="U274" s="20"/>
    </row>
    <row r="275" spans="1:21" ht="15">
      <c r="A275" s="318"/>
      <c r="B275" s="516">
        <f>+B274+1</f>
        <v>178</v>
      </c>
      <c r="C275" s="517"/>
      <c r="D275" s="524" t="str">
        <f>"  Long Term Debt   (Worksheet Q, ln "&amp;'WS Q Cap Structure'!A211&amp;")"</f>
        <v>  Long Term Debt   (Worksheet Q, ln 140)</v>
      </c>
      <c r="E275" s="521"/>
      <c r="F275" s="521"/>
      <c r="G275" s="538">
        <f>'WS Q Cap Structure'!J216</f>
        <v>0.5083155875976112</v>
      </c>
      <c r="H275" s="526">
        <f>'WS Q Cap Structure'!J211</f>
        <v>8635339435.5</v>
      </c>
      <c r="I275" s="539"/>
      <c r="J275" s="532">
        <f>+L265/H275</f>
        <v>0.05217329409749061</v>
      </c>
      <c r="K275" s="521"/>
      <c r="L275" s="540">
        <f>+G275*J275</f>
        <v>0.026520498646068917</v>
      </c>
      <c r="M275" s="30"/>
      <c r="N275" s="20"/>
      <c r="O275" s="20"/>
      <c r="P275" s="20"/>
      <c r="Q275" s="20"/>
      <c r="R275" s="20"/>
      <c r="S275" s="20"/>
      <c r="T275" s="20"/>
      <c r="U275" s="20"/>
    </row>
    <row r="276" spans="1:13" ht="15">
      <c r="A276" s="318"/>
      <c r="B276" s="516">
        <f>+B275+1</f>
        <v>179</v>
      </c>
      <c r="C276" s="517"/>
      <c r="D276" s="524" t="str">
        <f>"  Preferred Stock (Worksheet Q, ln "&amp;'WS Q Cap Structure'!A212&amp;")"</f>
        <v>  Preferred Stock (Worksheet Q, ln 141)</v>
      </c>
      <c r="E276" s="521"/>
      <c r="F276" s="521"/>
      <c r="G276" s="538">
        <f>'WS Q Cap Structure'!J217</f>
        <v>0</v>
      </c>
      <c r="H276" s="526">
        <f>'WS Q Cap Structure'!J212</f>
        <v>0</v>
      </c>
      <c r="I276" s="539"/>
      <c r="J276" s="532">
        <f>IF(L266=0,0,+L266/H276)</f>
        <v>0</v>
      </c>
      <c r="K276" s="521"/>
      <c r="L276" s="541">
        <f>+G276*J276</f>
        <v>0</v>
      </c>
      <c r="M276" s="16"/>
    </row>
    <row r="277" spans="1:13" ht="15.75" thickBot="1">
      <c r="A277" s="318"/>
      <c r="B277" s="516">
        <f>+B276+1</f>
        <v>180</v>
      </c>
      <c r="C277" s="517"/>
      <c r="D277" s="524" t="str">
        <f>"  Common Stock (Worksheet Q, ln "&amp;'WS Q Cap Structure'!A213&amp;")"</f>
        <v>  Common Stock (Worksheet Q, ln 142)</v>
      </c>
      <c r="E277" s="521"/>
      <c r="F277" s="521"/>
      <c r="G277" s="542">
        <f>'WS Q Cap Structure'!J218</f>
        <v>0.49168441240238886</v>
      </c>
      <c r="H277" s="543">
        <f>$H$278*G277</f>
        <v>8352806602.5</v>
      </c>
      <c r="I277" s="539"/>
      <c r="J277" s="313">
        <v>0.1149</v>
      </c>
      <c r="K277" s="521"/>
      <c r="L277" s="544">
        <f>+G277*J277</f>
        <v>0.05649453898503448</v>
      </c>
      <c r="M277" s="16"/>
    </row>
    <row r="278" spans="1:13" ht="15.75">
      <c r="A278" s="318"/>
      <c r="B278" s="516">
        <f>+B277+1</f>
        <v>181</v>
      </c>
      <c r="C278" s="517"/>
      <c r="D278" s="524" t="str">
        <f>" Total (Worksheet Q, ln "&amp;'WS Q Cap Structure'!A214&amp;")"</f>
        <v> Total (Worksheet Q, ln 143)</v>
      </c>
      <c r="E278" s="521"/>
      <c r="F278" s="521"/>
      <c r="G278" s="521"/>
      <c r="H278" s="526">
        <f>'WS Q Cap Structure'!J214</f>
        <v>16988146038</v>
      </c>
      <c r="I278" s="535"/>
      <c r="J278" s="545"/>
      <c r="K278" s="546" t="s">
        <v>581</v>
      </c>
      <c r="L278" s="547">
        <f>SUM(L275:L277)</f>
        <v>0.0830150376311034</v>
      </c>
      <c r="M278" s="31"/>
    </row>
    <row r="279" spans="1:21" ht="15">
      <c r="A279" s="318"/>
      <c r="B279" s="320"/>
      <c r="C279" s="339"/>
      <c r="D279" s="468"/>
      <c r="E279" s="418"/>
      <c r="F279" s="548"/>
      <c r="G279" s="548"/>
      <c r="H279" s="548"/>
      <c r="I279" s="548"/>
      <c r="J279" s="549"/>
      <c r="K279" s="549"/>
      <c r="L279" s="549"/>
      <c r="M279" s="6"/>
      <c r="N279" s="32"/>
      <c r="O279" s="32"/>
      <c r="P279" s="32"/>
      <c r="Q279" s="32"/>
      <c r="R279" s="32"/>
      <c r="S279" s="32"/>
      <c r="T279" s="32"/>
      <c r="U279" s="32"/>
    </row>
    <row r="280" spans="1:21" ht="15">
      <c r="A280" s="318"/>
      <c r="B280" s="320"/>
      <c r="C280" s="339"/>
      <c r="D280" s="339"/>
      <c r="E280" s="352"/>
      <c r="F280" s="352"/>
      <c r="G280" s="352"/>
      <c r="H280" s="352"/>
      <c r="I280" s="352"/>
      <c r="J280" s="349"/>
      <c r="K280" s="323"/>
      <c r="L280" s="349"/>
      <c r="M280" s="15"/>
      <c r="N280" s="32"/>
      <c r="O280" s="32"/>
      <c r="P280" s="32"/>
      <c r="Q280" s="32"/>
      <c r="R280" s="32"/>
      <c r="S280" s="32"/>
      <c r="T280" s="32"/>
      <c r="U280" s="32"/>
    </row>
    <row r="281" spans="1:21" ht="15.75">
      <c r="A281" s="318"/>
      <c r="B281" s="423"/>
      <c r="C281" s="337"/>
      <c r="D281" s="344"/>
      <c r="E281" s="344"/>
      <c r="F281" s="424" t="str">
        <f>F219</f>
        <v>AEPTCo subsidiaries in PJM</v>
      </c>
      <c r="G281" s="345"/>
      <c r="H281" s="349"/>
      <c r="I281" s="349"/>
      <c r="J281" s="349"/>
      <c r="K281" s="323"/>
      <c r="L281" s="349"/>
      <c r="M281" s="51"/>
      <c r="N281" s="32"/>
      <c r="O281" s="32"/>
      <c r="P281" s="32"/>
      <c r="Q281" s="32"/>
      <c r="R281" s="32"/>
      <c r="S281" s="32"/>
      <c r="T281" s="32"/>
      <c r="U281" s="32"/>
    </row>
    <row r="282" spans="1:21" ht="15">
      <c r="A282" s="318"/>
      <c r="B282" s="423"/>
      <c r="C282" s="337"/>
      <c r="D282" s="550"/>
      <c r="E282" s="337"/>
      <c r="F282" s="424" t="str">
        <f>F220</f>
        <v>Transmission Cost of Service Formula Rate</v>
      </c>
      <c r="G282" s="349"/>
      <c r="H282" s="349"/>
      <c r="I282" s="349"/>
      <c r="J282" s="349"/>
      <c r="K282" s="323"/>
      <c r="L282" s="365"/>
      <c r="M282" s="44"/>
      <c r="N282" s="32"/>
      <c r="O282" s="32"/>
      <c r="P282" s="32"/>
      <c r="Q282" s="32"/>
      <c r="R282" s="32"/>
      <c r="S282" s="32"/>
      <c r="T282" s="32"/>
      <c r="U282" s="32"/>
    </row>
    <row r="283" spans="1:21" ht="15.75">
      <c r="A283" s="318"/>
      <c r="B283" s="423"/>
      <c r="C283" s="337"/>
      <c r="D283" s="550"/>
      <c r="E283" s="427"/>
      <c r="F283" s="424" t="str">
        <f>F221</f>
        <v>Utilizing  Actual/Projected FERC Form 1 Data</v>
      </c>
      <c r="G283" s="349"/>
      <c r="H283" s="349"/>
      <c r="I283" s="349"/>
      <c r="J283" s="349"/>
      <c r="K283" s="323"/>
      <c r="L283" s="365"/>
      <c r="M283" s="51"/>
      <c r="N283" s="32"/>
      <c r="O283" s="32"/>
      <c r="P283" s="32"/>
      <c r="Q283" s="32"/>
      <c r="R283" s="32"/>
      <c r="S283" s="32"/>
      <c r="T283" s="32"/>
      <c r="U283" s="32"/>
    </row>
    <row r="284" spans="1:21" ht="15.75">
      <c r="A284" s="318"/>
      <c r="B284" s="320"/>
      <c r="C284" s="337"/>
      <c r="D284" s="550"/>
      <c r="E284" s="427"/>
      <c r="F284" s="424"/>
      <c r="G284" s="349"/>
      <c r="H284" s="349"/>
      <c r="I284" s="349"/>
      <c r="J284" s="349"/>
      <c r="K284" s="323"/>
      <c r="L284" s="365"/>
      <c r="M284" s="12"/>
      <c r="N284" s="32"/>
      <c r="O284" s="32"/>
      <c r="P284" s="32"/>
      <c r="Q284" s="32"/>
      <c r="R284" s="32"/>
      <c r="S284" s="32"/>
      <c r="T284" s="32"/>
      <c r="U284" s="32"/>
    </row>
    <row r="285" spans="1:21" ht="15.75">
      <c r="A285" s="318"/>
      <c r="B285" s="320"/>
      <c r="C285" s="337"/>
      <c r="D285" s="550"/>
      <c r="E285" s="427"/>
      <c r="F285" s="424" t="str">
        <f>F223</f>
        <v>AEP APPALACHIAN TRANSMISSION COMPANY</v>
      </c>
      <c r="G285" s="349"/>
      <c r="H285" s="349"/>
      <c r="I285" s="349"/>
      <c r="J285" s="349"/>
      <c r="K285" s="323"/>
      <c r="L285" s="365"/>
      <c r="M285" s="12"/>
      <c r="N285" s="32"/>
      <c r="O285" s="32"/>
      <c r="P285" s="32"/>
      <c r="Q285" s="32"/>
      <c r="R285" s="32"/>
      <c r="S285" s="32"/>
      <c r="T285" s="32"/>
      <c r="U285" s="32"/>
    </row>
    <row r="286" spans="1:21" ht="15.75">
      <c r="A286" s="318"/>
      <c r="B286" s="320"/>
      <c r="C286" s="337"/>
      <c r="D286" s="550"/>
      <c r="E286" s="427"/>
      <c r="F286" s="424"/>
      <c r="G286" s="349"/>
      <c r="H286" s="349"/>
      <c r="I286" s="349"/>
      <c r="J286" s="349"/>
      <c r="K286" s="323"/>
      <c r="L286" s="365"/>
      <c r="M286" s="12"/>
      <c r="N286" s="32"/>
      <c r="O286" s="32"/>
      <c r="P286" s="32"/>
      <c r="Q286" s="32"/>
      <c r="R286" s="32"/>
      <c r="S286" s="32"/>
      <c r="T286" s="32"/>
      <c r="U286" s="32"/>
    </row>
    <row r="287" spans="1:21" ht="15.75">
      <c r="A287" s="318"/>
      <c r="B287" s="551" t="s">
        <v>697</v>
      </c>
      <c r="C287" s="357"/>
      <c r="D287" s="336"/>
      <c r="E287" s="322"/>
      <c r="F287" s="551" t="s">
        <v>696</v>
      </c>
      <c r="G287" s="329"/>
      <c r="H287" s="329"/>
      <c r="I287" s="329"/>
      <c r="J287" s="329"/>
      <c r="K287" s="322"/>
      <c r="L287" s="329"/>
      <c r="M287" s="12"/>
      <c r="N287" s="32"/>
      <c r="O287" s="32"/>
      <c r="P287" s="32"/>
      <c r="Q287" s="32"/>
      <c r="R287" s="32"/>
      <c r="S287" s="32"/>
      <c r="T287" s="32"/>
      <c r="U287" s="32"/>
    </row>
    <row r="288" spans="1:21" ht="15">
      <c r="A288" s="318"/>
      <c r="B288" s="342"/>
      <c r="C288" s="357"/>
      <c r="D288" s="318"/>
      <c r="E288" s="318"/>
      <c r="F288" s="318"/>
      <c r="G288" s="318"/>
      <c r="H288" s="318"/>
      <c r="I288" s="318"/>
      <c r="J288" s="318"/>
      <c r="K288" s="318"/>
      <c r="L288" s="365"/>
      <c r="M288" s="12"/>
      <c r="N288" s="32"/>
      <c r="O288" s="32"/>
      <c r="P288" s="32"/>
      <c r="Q288" s="32"/>
      <c r="R288" s="32"/>
      <c r="S288" s="32"/>
      <c r="T288" s="32"/>
      <c r="U288" s="32"/>
    </row>
    <row r="289" spans="1:21" ht="15">
      <c r="A289" s="318"/>
      <c r="B289" s="320"/>
      <c r="C289" s="337"/>
      <c r="D289" s="340" t="s">
        <v>496</v>
      </c>
      <c r="E289" s="326"/>
      <c r="F289" s="326"/>
      <c r="G289" s="329"/>
      <c r="H289" s="329"/>
      <c r="I289" s="329"/>
      <c r="J289" s="329"/>
      <c r="K289" s="322"/>
      <c r="L289" s="329"/>
      <c r="M289" s="17"/>
      <c r="N289" s="32"/>
      <c r="O289" s="32"/>
      <c r="P289" s="32"/>
      <c r="Q289" s="32"/>
      <c r="R289" s="32"/>
      <c r="S289" s="32"/>
      <c r="T289" s="32"/>
      <c r="U289" s="32"/>
    </row>
    <row r="290" spans="1:21" ht="15">
      <c r="A290" s="318"/>
      <c r="B290" s="318"/>
      <c r="C290" s="318"/>
      <c r="D290" s="336"/>
      <c r="E290" s="322"/>
      <c r="F290" s="322"/>
      <c r="G290" s="329"/>
      <c r="H290" s="329"/>
      <c r="I290" s="329"/>
      <c r="J290" s="329"/>
      <c r="K290" s="322"/>
      <c r="L290" s="329"/>
      <c r="M290" s="17"/>
      <c r="N290" s="32"/>
      <c r="O290" s="32"/>
      <c r="P290" s="32"/>
      <c r="Q290" s="32"/>
      <c r="R290" s="32"/>
      <c r="S290" s="32"/>
      <c r="T290" s="32"/>
      <c r="U290" s="32"/>
    </row>
    <row r="291" spans="1:21" ht="15">
      <c r="A291" s="318"/>
      <c r="B291" s="318"/>
      <c r="C291" s="318"/>
      <c r="D291" s="336"/>
      <c r="E291" s="322"/>
      <c r="F291" s="322"/>
      <c r="G291" s="329"/>
      <c r="H291" s="329"/>
      <c r="I291" s="329"/>
      <c r="J291" s="329"/>
      <c r="K291" s="322"/>
      <c r="L291" s="329"/>
      <c r="M291" s="17"/>
      <c r="N291" s="32"/>
      <c r="O291" s="32"/>
      <c r="P291" s="32"/>
      <c r="Q291" s="32"/>
      <c r="R291" s="32"/>
      <c r="S291" s="32"/>
      <c r="T291" s="32"/>
      <c r="U291" s="32"/>
    </row>
    <row r="292" spans="1:21" ht="15">
      <c r="A292" s="318"/>
      <c r="B292" s="552" t="s">
        <v>669</v>
      </c>
      <c r="C292" s="357"/>
      <c r="D292" s="336" t="s">
        <v>393</v>
      </c>
      <c r="E292" s="322"/>
      <c r="F292" s="322"/>
      <c r="G292" s="329"/>
      <c r="H292" s="329"/>
      <c r="I292" s="329"/>
      <c r="J292" s="329"/>
      <c r="K292" s="322"/>
      <c r="L292" s="329"/>
      <c r="M292" s="17"/>
      <c r="N292" s="32"/>
      <c r="O292" s="32"/>
      <c r="P292" s="32"/>
      <c r="Q292" s="32"/>
      <c r="R292" s="32"/>
      <c r="S292" s="32"/>
      <c r="T292" s="32"/>
      <c r="U292" s="32"/>
    </row>
    <row r="293" spans="1:21" ht="15">
      <c r="A293" s="318"/>
      <c r="B293" s="552"/>
      <c r="C293" s="425"/>
      <c r="D293" s="336" t="s">
        <v>228</v>
      </c>
      <c r="E293" s="322"/>
      <c r="F293" s="322"/>
      <c r="G293" s="322"/>
      <c r="H293" s="322"/>
      <c r="I293" s="322"/>
      <c r="J293" s="322"/>
      <c r="K293" s="322"/>
      <c r="L293" s="322"/>
      <c r="M293" s="17"/>
      <c r="N293" s="32"/>
      <c r="O293" s="32"/>
      <c r="P293" s="32"/>
      <c r="Q293" s="32"/>
      <c r="R293" s="32"/>
      <c r="S293" s="32"/>
      <c r="T293" s="32"/>
      <c r="U293" s="32"/>
    </row>
    <row r="294" spans="1:21" ht="15">
      <c r="A294" s="318"/>
      <c r="B294" s="553"/>
      <c r="C294" s="376"/>
      <c r="D294" s="318" t="s">
        <v>229</v>
      </c>
      <c r="E294" s="554"/>
      <c r="F294" s="554"/>
      <c r="G294" s="322"/>
      <c r="H294" s="322"/>
      <c r="I294" s="322"/>
      <c r="J294" s="322"/>
      <c r="K294" s="322"/>
      <c r="L294" s="322"/>
      <c r="M294" s="17"/>
      <c r="N294" s="32"/>
      <c r="O294" s="32"/>
      <c r="P294" s="32"/>
      <c r="Q294" s="32"/>
      <c r="R294" s="32"/>
      <c r="S294" s="32"/>
      <c r="T294" s="32"/>
      <c r="U294" s="32"/>
    </row>
    <row r="295" spans="1:21" ht="15">
      <c r="A295" s="318"/>
      <c r="B295" s="553"/>
      <c r="C295" s="376"/>
      <c r="D295" s="336" t="s">
        <v>404</v>
      </c>
      <c r="E295" s="322"/>
      <c r="F295" s="322"/>
      <c r="G295" s="322"/>
      <c r="H295" s="322"/>
      <c r="I295" s="322"/>
      <c r="J295" s="322"/>
      <c r="K295" s="322"/>
      <c r="L295" s="322"/>
      <c r="M295" s="17"/>
      <c r="N295" s="32"/>
      <c r="O295" s="32"/>
      <c r="P295" s="32"/>
      <c r="Q295" s="32"/>
      <c r="R295" s="32"/>
      <c r="S295" s="32"/>
      <c r="T295" s="32"/>
      <c r="U295" s="32"/>
    </row>
    <row r="296" spans="1:21" ht="15">
      <c r="A296" s="318"/>
      <c r="B296" s="334"/>
      <c r="C296" s="326"/>
      <c r="D296" s="336" t="s">
        <v>405</v>
      </c>
      <c r="E296" s="322"/>
      <c r="F296" s="322"/>
      <c r="G296" s="322"/>
      <c r="H296" s="322"/>
      <c r="I296" s="322"/>
      <c r="J296" s="322"/>
      <c r="K296" s="322"/>
      <c r="L296" s="322"/>
      <c r="M296" s="17"/>
      <c r="N296" s="32"/>
      <c r="O296" s="32"/>
      <c r="P296" s="32"/>
      <c r="Q296" s="32"/>
      <c r="R296" s="32"/>
      <c r="S296" s="32"/>
      <c r="T296" s="32"/>
      <c r="U296" s="32"/>
    </row>
    <row r="297" spans="1:21" ht="15">
      <c r="A297" s="318"/>
      <c r="B297" s="334"/>
      <c r="C297" s="326"/>
      <c r="D297" s="336" t="s">
        <v>230</v>
      </c>
      <c r="E297" s="322"/>
      <c r="F297" s="322"/>
      <c r="G297" s="322"/>
      <c r="H297" s="322"/>
      <c r="I297" s="322"/>
      <c r="J297" s="322"/>
      <c r="K297" s="322"/>
      <c r="L297" s="322"/>
      <c r="M297" s="17"/>
      <c r="N297" s="32"/>
      <c r="O297" s="32"/>
      <c r="P297" s="32"/>
      <c r="Q297" s="32"/>
      <c r="R297" s="32"/>
      <c r="S297" s="32"/>
      <c r="T297" s="32"/>
      <c r="U297" s="32"/>
    </row>
    <row r="298" spans="1:21" ht="15">
      <c r="A298" s="318"/>
      <c r="B298" s="334"/>
      <c r="C298" s="326"/>
      <c r="D298" s="336" t="s">
        <v>231</v>
      </c>
      <c r="E298" s="322"/>
      <c r="F298" s="322"/>
      <c r="G298" s="322"/>
      <c r="H298" s="322"/>
      <c r="I298" s="322"/>
      <c r="J298" s="322"/>
      <c r="K298" s="322"/>
      <c r="L298" s="322"/>
      <c r="M298" s="17"/>
      <c r="N298" s="32"/>
      <c r="O298" s="32"/>
      <c r="P298" s="32"/>
      <c r="Q298" s="32"/>
      <c r="R298" s="32"/>
      <c r="S298" s="32"/>
      <c r="T298" s="32"/>
      <c r="U298" s="32"/>
    </row>
    <row r="299" spans="1:21" ht="15">
      <c r="A299" s="318"/>
      <c r="B299" s="334"/>
      <c r="C299" s="326"/>
      <c r="D299" s="336" t="s">
        <v>929</v>
      </c>
      <c r="E299" s="336"/>
      <c r="F299" s="322"/>
      <c r="G299" s="322"/>
      <c r="H299" s="322"/>
      <c r="I299" s="322"/>
      <c r="J299" s="322"/>
      <c r="K299" s="322"/>
      <c r="L299" s="322"/>
      <c r="M299" s="17"/>
      <c r="N299" s="32"/>
      <c r="O299" s="32"/>
      <c r="P299" s="32"/>
      <c r="Q299" s="32"/>
      <c r="R299" s="32"/>
      <c r="S299" s="32"/>
      <c r="T299" s="32"/>
      <c r="U299" s="32"/>
    </row>
    <row r="300" spans="1:21" ht="15">
      <c r="A300" s="318"/>
      <c r="B300" s="334"/>
      <c r="C300" s="326"/>
      <c r="D300" s="336" t="s">
        <v>889</v>
      </c>
      <c r="E300" s="336"/>
      <c r="F300" s="322"/>
      <c r="G300" s="322"/>
      <c r="H300" s="322"/>
      <c r="I300" s="322"/>
      <c r="J300" s="322"/>
      <c r="K300" s="322"/>
      <c r="L300" s="322"/>
      <c r="M300" s="17"/>
      <c r="N300" s="32"/>
      <c r="O300" s="32"/>
      <c r="P300" s="32"/>
      <c r="Q300" s="32"/>
      <c r="R300" s="32"/>
      <c r="S300" s="32"/>
      <c r="T300" s="32"/>
      <c r="U300" s="32"/>
    </row>
    <row r="301" spans="1:21" ht="15">
      <c r="A301" s="318"/>
      <c r="B301" s="334"/>
      <c r="C301" s="326"/>
      <c r="D301" s="336" t="s">
        <v>932</v>
      </c>
      <c r="E301" s="336"/>
      <c r="F301" s="322"/>
      <c r="G301" s="322"/>
      <c r="H301" s="322"/>
      <c r="I301" s="322"/>
      <c r="J301" s="322"/>
      <c r="K301" s="322"/>
      <c r="L301" s="322"/>
      <c r="M301" s="17"/>
      <c r="N301" s="32"/>
      <c r="O301" s="32"/>
      <c r="P301" s="32"/>
      <c r="Q301" s="32"/>
      <c r="R301" s="32"/>
      <c r="S301" s="32"/>
      <c r="T301" s="32"/>
      <c r="U301" s="32"/>
    </row>
    <row r="302" spans="1:21" ht="15">
      <c r="A302" s="318"/>
      <c r="B302" s="334"/>
      <c r="C302" s="326"/>
      <c r="D302" s="336" t="s">
        <v>890</v>
      </c>
      <c r="E302" s="336"/>
      <c r="F302" s="322"/>
      <c r="G302" s="322"/>
      <c r="H302" s="322"/>
      <c r="I302" s="322"/>
      <c r="J302" s="322"/>
      <c r="K302" s="322"/>
      <c r="L302" s="322"/>
      <c r="M302" s="17"/>
      <c r="N302" s="32"/>
      <c r="O302" s="32"/>
      <c r="P302" s="32"/>
      <c r="Q302" s="32"/>
      <c r="R302" s="32"/>
      <c r="S302" s="32"/>
      <c r="T302" s="32"/>
      <c r="U302" s="32"/>
    </row>
    <row r="303" spans="1:21" ht="15">
      <c r="A303" s="318"/>
      <c r="B303" s="334"/>
      <c r="C303" s="326"/>
      <c r="D303" s="336" t="s">
        <v>411</v>
      </c>
      <c r="E303" s="336"/>
      <c r="F303" s="322"/>
      <c r="G303" s="322"/>
      <c r="H303" s="322"/>
      <c r="I303" s="322"/>
      <c r="J303" s="322"/>
      <c r="K303" s="322"/>
      <c r="L303" s="322"/>
      <c r="M303" s="17"/>
      <c r="N303" s="32"/>
      <c r="O303" s="32"/>
      <c r="P303" s="32"/>
      <c r="Q303" s="32"/>
      <c r="R303" s="32"/>
      <c r="S303" s="32"/>
      <c r="T303" s="32"/>
      <c r="U303" s="32"/>
    </row>
    <row r="304" spans="1:21" ht="15">
      <c r="A304" s="318"/>
      <c r="B304" s="334"/>
      <c r="C304" s="326"/>
      <c r="D304" s="549"/>
      <c r="E304" s="322"/>
      <c r="F304" s="322"/>
      <c r="G304" s="322"/>
      <c r="H304" s="322"/>
      <c r="I304" s="322"/>
      <c r="J304" s="322"/>
      <c r="K304" s="322"/>
      <c r="L304" s="336"/>
      <c r="M304" s="17"/>
      <c r="N304" s="32"/>
      <c r="O304" s="32"/>
      <c r="P304" s="32"/>
      <c r="Q304" s="32"/>
      <c r="R304" s="32"/>
      <c r="S304" s="32"/>
      <c r="T304" s="32"/>
      <c r="U304" s="32"/>
    </row>
    <row r="305" spans="1:21" ht="15" customHeight="1">
      <c r="A305" s="318"/>
      <c r="B305" s="334" t="s">
        <v>670</v>
      </c>
      <c r="C305" s="326"/>
      <c r="D305" s="1229" t="s">
        <v>930</v>
      </c>
      <c r="E305" s="1230"/>
      <c r="F305" s="1230"/>
      <c r="G305" s="1230"/>
      <c r="H305" s="1230"/>
      <c r="I305" s="1230"/>
      <c r="J305" s="1230"/>
      <c r="K305" s="1230"/>
      <c r="L305" s="336"/>
      <c r="M305" s="17"/>
      <c r="N305" s="32"/>
      <c r="O305" s="32"/>
      <c r="P305" s="32"/>
      <c r="Q305" s="32"/>
      <c r="R305" s="32"/>
      <c r="S305" s="32"/>
      <c r="T305" s="32"/>
      <c r="U305" s="32"/>
    </row>
    <row r="306" spans="1:21" ht="15">
      <c r="A306" s="318"/>
      <c r="B306" s="334"/>
      <c r="C306" s="326"/>
      <c r="D306" s="1230"/>
      <c r="E306" s="1230"/>
      <c r="F306" s="1230"/>
      <c r="G306" s="1230"/>
      <c r="H306" s="1230"/>
      <c r="I306" s="1230"/>
      <c r="J306" s="1230"/>
      <c r="K306" s="1230"/>
      <c r="L306" s="336"/>
      <c r="M306" s="17"/>
      <c r="N306" s="32"/>
      <c r="O306" s="32"/>
      <c r="P306" s="32"/>
      <c r="Q306" s="32"/>
      <c r="R306" s="32"/>
      <c r="S306" s="32"/>
      <c r="T306" s="32"/>
      <c r="U306" s="32"/>
    </row>
    <row r="307" spans="1:21" ht="15">
      <c r="A307" s="318"/>
      <c r="B307" s="342"/>
      <c r="C307" s="318"/>
      <c r="D307" s="318"/>
      <c r="E307" s="322"/>
      <c r="F307" s="322"/>
      <c r="G307" s="322"/>
      <c r="H307" s="322"/>
      <c r="I307" s="322"/>
      <c r="J307" s="322"/>
      <c r="K307" s="322"/>
      <c r="L307" s="322"/>
      <c r="M307" s="17"/>
      <c r="N307" s="32"/>
      <c r="O307" s="32"/>
      <c r="P307" s="32"/>
      <c r="Q307" s="32"/>
      <c r="R307" s="32"/>
      <c r="S307" s="32"/>
      <c r="T307" s="32"/>
      <c r="U307" s="32"/>
    </row>
    <row r="308" spans="1:21" ht="15">
      <c r="A308" s="318"/>
      <c r="B308" s="334" t="s">
        <v>671</v>
      </c>
      <c r="C308" s="326"/>
      <c r="D308" s="555" t="s">
        <v>925</v>
      </c>
      <c r="E308" s="322"/>
      <c r="F308" s="322"/>
      <c r="G308" s="322"/>
      <c r="H308" s="322"/>
      <c r="I308" s="322"/>
      <c r="J308" s="322"/>
      <c r="K308" s="322"/>
      <c r="L308" s="322"/>
      <c r="M308" s="17"/>
      <c r="N308" s="32"/>
      <c r="O308" s="32"/>
      <c r="P308" s="32"/>
      <c r="Q308" s="32"/>
      <c r="R308" s="32"/>
      <c r="S308" s="32"/>
      <c r="T308" s="32"/>
      <c r="U308" s="32"/>
    </row>
    <row r="309" spans="1:21" ht="15">
      <c r="A309" s="318"/>
      <c r="B309" s="334"/>
      <c r="C309" s="326"/>
      <c r="D309" s="555"/>
      <c r="E309" s="322"/>
      <c r="F309" s="322"/>
      <c r="G309" s="322"/>
      <c r="H309" s="322"/>
      <c r="I309" s="322"/>
      <c r="J309" s="322"/>
      <c r="K309" s="322"/>
      <c r="L309" s="322"/>
      <c r="M309" s="17"/>
      <c r="N309" s="32"/>
      <c r="O309" s="32"/>
      <c r="P309" s="32"/>
      <c r="Q309" s="32"/>
      <c r="R309" s="32"/>
      <c r="S309" s="32"/>
      <c r="T309" s="32"/>
      <c r="U309" s="32"/>
    </row>
    <row r="310" spans="1:21" ht="15">
      <c r="A310" s="318"/>
      <c r="B310" s="334" t="s">
        <v>672</v>
      </c>
      <c r="C310" s="326"/>
      <c r="D310" s="336" t="s">
        <v>86</v>
      </c>
      <c r="E310" s="322"/>
      <c r="F310" s="322"/>
      <c r="G310" s="322"/>
      <c r="H310" s="322"/>
      <c r="I310" s="322"/>
      <c r="J310" s="322"/>
      <c r="K310" s="322"/>
      <c r="L310" s="322"/>
      <c r="M310" s="17"/>
      <c r="N310" s="32"/>
      <c r="O310" s="32"/>
      <c r="P310" s="26"/>
      <c r="Q310" s="26"/>
      <c r="R310" s="32"/>
      <c r="S310" s="32"/>
      <c r="T310" s="32"/>
      <c r="U310" s="32"/>
    </row>
    <row r="311" spans="1:21" ht="15">
      <c r="A311" s="318"/>
      <c r="B311" s="334"/>
      <c r="C311" s="326"/>
      <c r="D311" s="336" t="s">
        <v>420</v>
      </c>
      <c r="E311" s="322"/>
      <c r="F311" s="322"/>
      <c r="G311" s="322"/>
      <c r="H311" s="322"/>
      <c r="I311" s="322"/>
      <c r="J311" s="322"/>
      <c r="K311" s="322"/>
      <c r="L311" s="322"/>
      <c r="M311" s="17"/>
      <c r="N311" s="32"/>
      <c r="O311" s="32"/>
      <c r="P311" s="26"/>
      <c r="Q311" s="26"/>
      <c r="R311" s="32"/>
      <c r="S311" s="32"/>
      <c r="T311" s="32"/>
      <c r="U311" s="32"/>
    </row>
    <row r="312" spans="1:21" ht="15">
      <c r="A312" s="318"/>
      <c r="B312" s="334"/>
      <c r="C312" s="326"/>
      <c r="D312" s="336" t="s">
        <v>429</v>
      </c>
      <c r="E312" s="322"/>
      <c r="F312" s="322"/>
      <c r="G312" s="322"/>
      <c r="H312" s="322"/>
      <c r="I312" s="322"/>
      <c r="J312" s="322"/>
      <c r="K312" s="322"/>
      <c r="L312" s="480"/>
      <c r="M312" s="17"/>
      <c r="N312" s="32"/>
      <c r="O312" s="32"/>
      <c r="P312" s="26"/>
      <c r="Q312" s="26"/>
      <c r="R312" s="32"/>
      <c r="S312" s="32"/>
      <c r="T312" s="32"/>
      <c r="U312" s="32"/>
    </row>
    <row r="313" spans="1:21" ht="15">
      <c r="A313" s="318"/>
      <c r="B313" s="334"/>
      <c r="C313" s="326"/>
      <c r="D313" s="336" t="s">
        <v>218</v>
      </c>
      <c r="E313" s="322"/>
      <c r="F313" s="322"/>
      <c r="G313" s="322"/>
      <c r="H313" s="322"/>
      <c r="I313" s="322"/>
      <c r="J313" s="322"/>
      <c r="K313" s="322"/>
      <c r="L313" s="480"/>
      <c r="M313" s="17"/>
      <c r="N313" s="32"/>
      <c r="O313" s="32"/>
      <c r="P313" s="26"/>
      <c r="Q313" s="32"/>
      <c r="R313" s="32"/>
      <c r="S313" s="32"/>
      <c r="T313" s="32"/>
      <c r="U313" s="32"/>
    </row>
    <row r="314" spans="1:21" ht="15">
      <c r="A314" s="318"/>
      <c r="B314" s="334"/>
      <c r="C314" s="326"/>
      <c r="D314" s="336" t="s">
        <v>922</v>
      </c>
      <c r="E314" s="322"/>
      <c r="F314" s="322"/>
      <c r="G314" s="322"/>
      <c r="H314" s="322"/>
      <c r="I314" s="322"/>
      <c r="J314" s="322"/>
      <c r="K314" s="322"/>
      <c r="L314" s="480"/>
      <c r="M314" s="17"/>
      <c r="N314" s="32"/>
      <c r="O314" s="32"/>
      <c r="P314" s="26"/>
      <c r="Q314" s="32"/>
      <c r="R314" s="32"/>
      <c r="S314" s="32"/>
      <c r="T314" s="32"/>
      <c r="U314" s="32"/>
    </row>
    <row r="315" spans="1:21" ht="15">
      <c r="A315" s="318"/>
      <c r="B315" s="334"/>
      <c r="C315" s="326"/>
      <c r="D315" s="336" t="s">
        <v>923</v>
      </c>
      <c r="E315" s="322"/>
      <c r="F315" s="322"/>
      <c r="G315" s="322"/>
      <c r="H315" s="322"/>
      <c r="I315" s="322"/>
      <c r="J315" s="322"/>
      <c r="K315" s="322"/>
      <c r="L315" s="480"/>
      <c r="M315" s="17"/>
      <c r="N315" s="32"/>
      <c r="O315" s="32"/>
      <c r="P315" s="26"/>
      <c r="Q315" s="32"/>
      <c r="R315" s="32"/>
      <c r="S315" s="32"/>
      <c r="T315" s="32"/>
      <c r="U315" s="32"/>
    </row>
    <row r="316" spans="1:21" ht="15">
      <c r="A316" s="318"/>
      <c r="B316" s="334"/>
      <c r="C316" s="326"/>
      <c r="D316" s="336" t="s">
        <v>924</v>
      </c>
      <c r="E316" s="322"/>
      <c r="F316" s="322"/>
      <c r="G316" s="322"/>
      <c r="H316" s="322"/>
      <c r="I316" s="322"/>
      <c r="J316" s="322"/>
      <c r="K316" s="322"/>
      <c r="L316" s="480"/>
      <c r="M316" s="17"/>
      <c r="N316" s="32"/>
      <c r="O316" s="32"/>
      <c r="P316" s="26"/>
      <c r="Q316" s="32"/>
      <c r="R316" s="32"/>
      <c r="S316" s="32"/>
      <c r="T316" s="32"/>
      <c r="U316" s="32"/>
    </row>
    <row r="317" spans="1:21" ht="15">
      <c r="A317" s="318"/>
      <c r="B317" s="334"/>
      <c r="C317" s="326"/>
      <c r="D317" s="336" t="s">
        <v>152</v>
      </c>
      <c r="E317" s="322"/>
      <c r="F317" s="322"/>
      <c r="G317" s="322"/>
      <c r="H317" s="322"/>
      <c r="I317" s="322"/>
      <c r="J317" s="322"/>
      <c r="K317" s="322"/>
      <c r="L317" s="480"/>
      <c r="M317" s="17"/>
      <c r="N317" s="32"/>
      <c r="O317" s="32"/>
      <c r="P317" s="26"/>
      <c r="Q317" s="32"/>
      <c r="R317" s="32"/>
      <c r="S317" s="32"/>
      <c r="T317" s="32"/>
      <c r="U317" s="32"/>
    </row>
    <row r="318" spans="1:21" ht="15">
      <c r="A318" s="318"/>
      <c r="B318" s="334"/>
      <c r="C318" s="326"/>
      <c r="D318" s="336"/>
      <c r="E318" s="322"/>
      <c r="F318" s="322"/>
      <c r="G318" s="322"/>
      <c r="H318" s="322"/>
      <c r="I318" s="322"/>
      <c r="J318" s="322"/>
      <c r="K318" s="322"/>
      <c r="L318" s="480"/>
      <c r="M318" s="17"/>
      <c r="N318" s="32"/>
      <c r="O318" s="32"/>
      <c r="P318" s="26"/>
      <c r="Q318" s="32"/>
      <c r="R318" s="32"/>
      <c r="S318" s="32"/>
      <c r="T318" s="32"/>
      <c r="U318" s="32"/>
    </row>
    <row r="319" spans="1:21" ht="15">
      <c r="A319" s="318"/>
      <c r="B319" s="334" t="s">
        <v>673</v>
      </c>
      <c r="C319" s="336"/>
      <c r="D319" s="336" t="str">
        <f>"Cash Working Capital assigned to transmission is one-eighth of O&amp;M allocated to transmission, as shown on line "&amp;B154&amp;". It excludes:"</f>
        <v>Cash Working Capital assigned to transmission is one-eighth of O&amp;M allocated to transmission, as shown on line 89. It excludes:</v>
      </c>
      <c r="E319" s="556"/>
      <c r="F319" s="556"/>
      <c r="G319" s="556"/>
      <c r="H319" s="556"/>
      <c r="I319" s="556"/>
      <c r="J319" s="556"/>
      <c r="K319" s="556"/>
      <c r="L319" s="557"/>
      <c r="M319" s="17"/>
      <c r="N319" s="32"/>
      <c r="O319" s="32"/>
      <c r="P319" s="32"/>
      <c r="Q319" s="32"/>
      <c r="R319" s="32"/>
      <c r="S319" s="32"/>
      <c r="T319" s="32"/>
      <c r="U319" s="32"/>
    </row>
    <row r="320" spans="1:21" ht="15">
      <c r="A320" s="318"/>
      <c r="B320" s="334"/>
      <c r="C320" s="336"/>
      <c r="D320" s="558" t="str">
        <f>+"1)  Load Scheduling &amp; Dispatch Charges in account 561 that are collected in the OATT Ancilliary Services Revenue, as shown on line "&amp;B151&amp;"."</f>
        <v>1)  Load Scheduling &amp; Dispatch Charges in account 561 that are collected in the OATT Ancilliary Services Revenue, as shown on line 86.</v>
      </c>
      <c r="E320" s="400"/>
      <c r="F320" s="400"/>
      <c r="G320" s="400"/>
      <c r="H320" s="400"/>
      <c r="I320" s="400"/>
      <c r="J320" s="400"/>
      <c r="K320" s="400"/>
      <c r="L320" s="557"/>
      <c r="M320" s="17"/>
      <c r="N320" s="32"/>
      <c r="O320" s="32"/>
      <c r="P320" s="32"/>
      <c r="Q320" s="32"/>
      <c r="R320" s="32"/>
      <c r="S320" s="32"/>
      <c r="T320" s="32"/>
      <c r="U320" s="32"/>
    </row>
    <row r="321" spans="1:21" ht="15">
      <c r="A321" s="318"/>
      <c r="B321" s="334"/>
      <c r="C321" s="336"/>
      <c r="D321" s="559" t="str">
        <f>+"2)  Costs of Transmission of Electricity by Others, as described in Note H."</f>
        <v>2)  Costs of Transmission of Electricity by Others, as described in Note H.</v>
      </c>
      <c r="E321" s="556"/>
      <c r="F321" s="556"/>
      <c r="G321" s="556"/>
      <c r="H321" s="556"/>
      <c r="I321" s="556"/>
      <c r="J321" s="556"/>
      <c r="K321" s="556"/>
      <c r="L321" s="557"/>
      <c r="M321" s="17"/>
      <c r="N321" s="32"/>
      <c r="O321" s="32"/>
      <c r="P321" s="32"/>
      <c r="Q321" s="32"/>
      <c r="R321" s="32"/>
      <c r="S321" s="32"/>
      <c r="T321" s="32"/>
      <c r="U321" s="32"/>
    </row>
    <row r="322" spans="1:21" ht="15">
      <c r="A322" s="318"/>
      <c r="B322" s="334"/>
      <c r="C322" s="336"/>
      <c r="D322" s="558" t="str">
        <f>+"3)  The impact of state regulatory deferrals and amortizations, as shown on line  "&amp;B153&amp;""</f>
        <v>3)  The impact of state regulatory deferrals and amortizations, as shown on line  88</v>
      </c>
      <c r="E322" s="400"/>
      <c r="F322" s="400"/>
      <c r="G322" s="400"/>
      <c r="H322" s="400"/>
      <c r="I322" s="400"/>
      <c r="J322" s="400"/>
      <c r="K322" s="400"/>
      <c r="L322" s="557"/>
      <c r="M322" s="17"/>
      <c r="N322" s="32"/>
      <c r="O322" s="32"/>
      <c r="P322" s="32"/>
      <c r="Q322" s="32"/>
      <c r="R322" s="32"/>
      <c r="S322" s="32"/>
      <c r="T322" s="32"/>
      <c r="U322" s="32"/>
    </row>
    <row r="323" spans="1:21" ht="15">
      <c r="A323" s="318"/>
      <c r="B323" s="334"/>
      <c r="C323" s="400"/>
      <c r="D323" s="559" t="str">
        <f>"4) All A&amp;G Expenses, as shown on line "&amp;B167&amp;"."</f>
        <v>4) All A&amp;G Expenses, as shown on line 101.</v>
      </c>
      <c r="E323" s="556"/>
      <c r="F323" s="556"/>
      <c r="G323" s="556"/>
      <c r="H323" s="556"/>
      <c r="I323" s="556"/>
      <c r="J323" s="556"/>
      <c r="K323" s="556"/>
      <c r="L323" s="557"/>
      <c r="M323" s="17"/>
      <c r="N323" s="32"/>
      <c r="O323" s="32"/>
      <c r="P323" s="32"/>
      <c r="Q323" s="32"/>
      <c r="R323" s="32"/>
      <c r="S323" s="32"/>
      <c r="T323" s="32"/>
      <c r="U323" s="32"/>
    </row>
    <row r="324" spans="1:21" ht="15">
      <c r="A324" s="318"/>
      <c r="B324" s="334"/>
      <c r="C324" s="326"/>
      <c r="D324" s="558"/>
      <c r="E324" s="560"/>
      <c r="F324" s="560"/>
      <c r="G324" s="560"/>
      <c r="H324" s="560"/>
      <c r="I324" s="560"/>
      <c r="J324" s="560"/>
      <c r="K324" s="560"/>
      <c r="L324" s="322"/>
      <c r="M324" s="17"/>
      <c r="N324" s="32"/>
      <c r="O324" s="32"/>
      <c r="P324" s="32"/>
      <c r="Q324" s="32"/>
      <c r="R324" s="32"/>
      <c r="S324" s="32"/>
      <c r="T324" s="32"/>
      <c r="U324" s="32"/>
    </row>
    <row r="325" spans="1:21" ht="15">
      <c r="A325" s="318"/>
      <c r="B325" s="552" t="s">
        <v>674</v>
      </c>
      <c r="C325" s="425"/>
      <c r="D325" s="561" t="str">
        <f>"Consistent with Paragraph 657 of Order 2003-A, the amount on line "&amp;B128&amp;" is equal to the balance of IPP System Upgrade Credits owed to transmission customers that"</f>
        <v>Consistent with Paragraph 657 of Order 2003-A, the amount on line 78 is equal to the balance of IPP System Upgrade Credits owed to transmission customers that</v>
      </c>
      <c r="E325" s="561"/>
      <c r="F325" s="561"/>
      <c r="G325" s="561"/>
      <c r="H325" s="561"/>
      <c r="I325" s="561"/>
      <c r="J325" s="561"/>
      <c r="K325" s="561"/>
      <c r="L325" s="376"/>
      <c r="M325" s="17"/>
      <c r="N325" s="32"/>
      <c r="O325" s="32"/>
      <c r="P325" s="32"/>
      <c r="Q325" s="32"/>
      <c r="R325" s="32"/>
      <c r="S325" s="32"/>
      <c r="T325" s="32"/>
      <c r="U325" s="32"/>
    </row>
    <row r="326" spans="1:21" ht="15">
      <c r="A326" s="318"/>
      <c r="B326" s="553"/>
      <c r="C326" s="376"/>
      <c r="D326" s="561" t="s">
        <v>764</v>
      </c>
      <c r="E326" s="561"/>
      <c r="F326" s="561"/>
      <c r="G326" s="561"/>
      <c r="H326" s="561"/>
      <c r="I326" s="561"/>
      <c r="J326" s="561"/>
      <c r="K326" s="561"/>
      <c r="L326" s="376"/>
      <c r="M326" s="17"/>
      <c r="N326" s="32"/>
      <c r="O326" s="32"/>
      <c r="P326" s="32"/>
      <c r="Q326" s="32"/>
      <c r="R326" s="32"/>
      <c r="S326" s="32"/>
      <c r="T326" s="32"/>
      <c r="U326" s="32"/>
    </row>
    <row r="327" spans="1:21" ht="15">
      <c r="A327" s="318"/>
      <c r="B327" s="553"/>
      <c r="C327" s="376"/>
      <c r="D327" s="561" t="str">
        <f>"expense is included on line "&amp;B210&amp;"."</f>
        <v>expense is included on line 138.</v>
      </c>
      <c r="E327" s="561"/>
      <c r="F327" s="561"/>
      <c r="G327" s="561"/>
      <c r="H327" s="561"/>
      <c r="I327" s="561"/>
      <c r="J327" s="561"/>
      <c r="K327" s="561"/>
      <c r="L327" s="376"/>
      <c r="M327" s="17"/>
      <c r="N327" s="32"/>
      <c r="O327" s="32"/>
      <c r="P327" s="32"/>
      <c r="Q327" s="32"/>
      <c r="R327" s="32"/>
      <c r="S327" s="32"/>
      <c r="T327" s="32"/>
      <c r="U327" s="32"/>
    </row>
    <row r="328" spans="1:21" ht="15">
      <c r="A328" s="318"/>
      <c r="B328" s="553"/>
      <c r="C328" s="376"/>
      <c r="D328" s="561"/>
      <c r="E328" s="561"/>
      <c r="F328" s="561"/>
      <c r="G328" s="561"/>
      <c r="H328" s="561"/>
      <c r="I328" s="561"/>
      <c r="J328" s="561"/>
      <c r="K328" s="561"/>
      <c r="L328" s="376"/>
      <c r="M328" s="12"/>
      <c r="N328" s="32"/>
      <c r="O328" s="32"/>
      <c r="P328" s="32"/>
      <c r="Q328" s="32"/>
      <c r="R328" s="32"/>
      <c r="S328" s="32"/>
      <c r="T328" s="32"/>
      <c r="U328" s="32"/>
    </row>
    <row r="329" spans="1:21" ht="15">
      <c r="A329" s="318"/>
      <c r="B329" s="552" t="s">
        <v>675</v>
      </c>
      <c r="C329" s="376"/>
      <c r="D329" s="1234" t="str">
        <f>"Removes from the cost of service the Load Scheduling and Dispatch expenses booked to accounts 561.1 through 561.8.  Expenses recorded in these accounts, with the exception of 561.4 &amp; 561.8 (lines "&amp;B40&amp;" &amp; "&amp;B41&amp;" above) are recovered in Schedule 1A, OATT ancillary services rates. See Worksheet F, lines "&amp;'WS F Misc Exp'!A22&amp;" through "&amp;'WS F Misc Exp'!A31&amp;",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29" s="1234"/>
      <c r="F329" s="1234"/>
      <c r="G329" s="1234"/>
      <c r="H329" s="1234"/>
      <c r="I329" s="1234"/>
      <c r="J329" s="1234"/>
      <c r="K329" s="1234"/>
      <c r="L329" s="376"/>
      <c r="M329" s="12"/>
      <c r="N329" s="32"/>
      <c r="O329" s="32"/>
      <c r="P329" s="32"/>
      <c r="Q329" s="32"/>
      <c r="R329" s="32"/>
      <c r="S329" s="32"/>
      <c r="T329" s="32"/>
      <c r="U329" s="32"/>
    </row>
    <row r="330" spans="1:21" ht="35.25" customHeight="1">
      <c r="A330" s="318"/>
      <c r="B330" s="552"/>
      <c r="C330" s="376"/>
      <c r="D330" s="1234"/>
      <c r="E330" s="1234"/>
      <c r="F330" s="1234"/>
      <c r="G330" s="1234"/>
      <c r="H330" s="1234"/>
      <c r="I330" s="1234"/>
      <c r="J330" s="1234"/>
      <c r="K330" s="1234"/>
      <c r="L330" s="376"/>
      <c r="M330" s="12"/>
      <c r="N330" s="32"/>
      <c r="O330" s="32"/>
      <c r="P330" s="32"/>
      <c r="Q330" s="32"/>
      <c r="R330" s="32"/>
      <c r="S330" s="32"/>
      <c r="T330" s="32"/>
      <c r="U330" s="32"/>
    </row>
    <row r="331" spans="1:21" ht="5.25" customHeight="1" hidden="1">
      <c r="A331" s="318"/>
      <c r="B331" s="552"/>
      <c r="C331" s="376"/>
      <c r="D331" s="1234"/>
      <c r="E331" s="1234"/>
      <c r="F331" s="1234"/>
      <c r="G331" s="1234"/>
      <c r="H331" s="1234"/>
      <c r="I331" s="1234"/>
      <c r="J331" s="1234"/>
      <c r="K331" s="1234"/>
      <c r="L331" s="376"/>
      <c r="M331" s="12"/>
      <c r="N331" s="32"/>
      <c r="O331" s="32"/>
      <c r="P331" s="32"/>
      <c r="Q331" s="32"/>
      <c r="R331" s="32"/>
      <c r="S331" s="32"/>
      <c r="T331" s="32"/>
      <c r="U331" s="32"/>
    </row>
    <row r="332" spans="1:21" ht="15">
      <c r="A332" s="318"/>
      <c r="B332" s="552"/>
      <c r="C332" s="376"/>
      <c r="D332" s="558"/>
      <c r="E332" s="561"/>
      <c r="F332" s="561"/>
      <c r="G332" s="561"/>
      <c r="H332" s="561"/>
      <c r="I332" s="561"/>
      <c r="J332" s="561"/>
      <c r="K332" s="561"/>
      <c r="L332" s="376"/>
      <c r="M332" s="12"/>
      <c r="N332" s="32"/>
      <c r="O332" s="32"/>
      <c r="P332" s="32"/>
      <c r="Q332" s="32"/>
      <c r="R332" s="32"/>
      <c r="S332" s="32"/>
      <c r="T332" s="32"/>
      <c r="U332" s="32"/>
    </row>
    <row r="333" spans="1:21" ht="15">
      <c r="A333" s="318"/>
      <c r="B333" s="552" t="s">
        <v>676</v>
      </c>
      <c r="C333" s="376"/>
      <c r="D333" s="1239" t="str">
        <f>"Removes cost of transmission service provided by others to determine the basis of cash working capital on line "&amp;B154&amp;". To the extent such service is incurred to provide the PJM service at issue, e.g. lease payments to affiliates, such costs are added back on line"&amp;B171&amp;" to determine the total O&amp;M collected in the formula.  The amounts on line"&amp;B171&amp;" is also excluded in the calculation of the FCR percentage calculated on lines "&amp;B24&amp;" through "&amp;B32&amp;"."</f>
        <v>Removes cost of transmission service provided by others to determine the basis of cash working capital on line 89. To the extent such service is incurred to provide the PJM service at issue, e.g. lease payments to affiliates, such costs are added back on line104 to determine the total O&amp;M collected in the formula.  The amounts on line104 is also excluded in the calculation of the FCR percentage calculated on lines 6 through 12.</v>
      </c>
      <c r="E333" s="1239"/>
      <c r="F333" s="1239"/>
      <c r="G333" s="1239"/>
      <c r="H333" s="1239"/>
      <c r="I333" s="1239"/>
      <c r="J333" s="1239"/>
      <c r="K333" s="1239"/>
      <c r="L333" s="376"/>
      <c r="M333" s="12"/>
      <c r="N333" s="32"/>
      <c r="O333" s="32"/>
      <c r="P333" s="32"/>
      <c r="Q333" s="32"/>
      <c r="R333" s="32"/>
      <c r="S333" s="32"/>
      <c r="T333" s="32"/>
      <c r="U333" s="32"/>
    </row>
    <row r="334" spans="1:21" ht="15">
      <c r="A334" s="318"/>
      <c r="B334" s="552"/>
      <c r="C334" s="376"/>
      <c r="D334" s="1239"/>
      <c r="E334" s="1239"/>
      <c r="F334" s="1239"/>
      <c r="G334" s="1239"/>
      <c r="H334" s="1239"/>
      <c r="I334" s="1239"/>
      <c r="J334" s="1239"/>
      <c r="K334" s="1239"/>
      <c r="L334" s="376"/>
      <c r="M334" s="12"/>
      <c r="N334" s="32"/>
      <c r="O334" s="32"/>
      <c r="P334" s="32"/>
      <c r="Q334" s="32"/>
      <c r="R334" s="32"/>
      <c r="S334" s="32"/>
      <c r="T334" s="32"/>
      <c r="U334" s="32"/>
    </row>
    <row r="335" spans="1:21" ht="15">
      <c r="A335" s="318"/>
      <c r="B335" s="552"/>
      <c r="C335" s="376"/>
      <c r="D335" s="1240"/>
      <c r="E335" s="1240"/>
      <c r="F335" s="1240"/>
      <c r="G335" s="1240"/>
      <c r="H335" s="1240"/>
      <c r="I335" s="1240"/>
      <c r="J335" s="1240"/>
      <c r="K335" s="1240"/>
      <c r="L335" s="376"/>
      <c r="M335" s="12"/>
      <c r="N335" s="32"/>
      <c r="O335" s="32"/>
      <c r="P335" s="32"/>
      <c r="Q335" s="32"/>
      <c r="R335" s="32"/>
      <c r="S335" s="32"/>
      <c r="T335" s="32"/>
      <c r="U335" s="32"/>
    </row>
    <row r="336" spans="1:21" ht="15">
      <c r="A336" s="318"/>
      <c r="B336" s="552"/>
      <c r="C336" s="376"/>
      <c r="D336" s="1231" t="str">
        <f>"The addbacks  on line"&amp;B171&amp;" of activity recorded in 565 represents inter-company sales or purchases of transmission capacity necessary to meet each AEP company's transmission load relative to their available transmission capacity."</f>
        <v>The addbacks  on line104 of activity recorded in 565 represents inter-company sales or purchases of transmission capacity necessary to meet each AEP company's transmission load relative to their available transmission capacity.</v>
      </c>
      <c r="E336" s="1231"/>
      <c r="F336" s="1231"/>
      <c r="G336" s="1231"/>
      <c r="H336" s="1231"/>
      <c r="I336" s="1231"/>
      <c r="J336" s="1231"/>
      <c r="K336" s="562"/>
      <c r="L336" s="376"/>
      <c r="M336" s="12"/>
      <c r="N336" s="32"/>
      <c r="O336" s="32"/>
      <c r="P336" s="32"/>
      <c r="Q336" s="32"/>
      <c r="R336" s="32"/>
      <c r="S336" s="32"/>
      <c r="T336" s="32"/>
      <c r="U336" s="32"/>
    </row>
    <row r="337" spans="1:21" ht="15">
      <c r="A337" s="318"/>
      <c r="B337" s="552"/>
      <c r="C337" s="376"/>
      <c r="D337" s="1231"/>
      <c r="E337" s="1231"/>
      <c r="F337" s="1231"/>
      <c r="G337" s="1231"/>
      <c r="H337" s="1231"/>
      <c r="I337" s="1231"/>
      <c r="J337" s="1231"/>
      <c r="K337" s="562"/>
      <c r="L337" s="376"/>
      <c r="M337" s="12"/>
      <c r="N337" s="32"/>
      <c r="O337" s="32"/>
      <c r="P337" s="32"/>
      <c r="Q337" s="32"/>
      <c r="R337" s="32"/>
      <c r="S337" s="32"/>
      <c r="T337" s="32"/>
      <c r="U337" s="32"/>
    </row>
    <row r="338" spans="1:21" ht="15">
      <c r="A338" s="318"/>
      <c r="B338" s="552"/>
      <c r="C338" s="376"/>
      <c r="D338" s="561" t="str">
        <f>"The company records referenced on line "&amp;B171&amp;" is the "&amp;F7&amp;" general ledger."</f>
        <v>The company records referenced on line 104 is the AEP APPALACHIAN TRANSMISSION COMPANY general ledger.</v>
      </c>
      <c r="E338" s="563"/>
      <c r="F338" s="563"/>
      <c r="G338" s="563"/>
      <c r="H338" s="563"/>
      <c r="I338" s="563"/>
      <c r="J338" s="563"/>
      <c r="K338" s="562"/>
      <c r="L338" s="376"/>
      <c r="M338" s="12"/>
      <c r="N338" s="32"/>
      <c r="O338" s="32"/>
      <c r="P338" s="32"/>
      <c r="Q338" s="32"/>
      <c r="R338" s="32"/>
      <c r="S338" s="32"/>
      <c r="T338" s="32"/>
      <c r="U338" s="32"/>
    </row>
    <row r="339" spans="1:21" ht="15">
      <c r="A339" s="318"/>
      <c r="B339" s="552"/>
      <c r="C339" s="376"/>
      <c r="D339" s="563"/>
      <c r="E339" s="563"/>
      <c r="F339" s="563"/>
      <c r="G339" s="563"/>
      <c r="H339" s="563"/>
      <c r="I339" s="563"/>
      <c r="J339" s="563"/>
      <c r="K339" s="563"/>
      <c r="L339" s="376"/>
      <c r="M339" s="12"/>
      <c r="N339" s="32"/>
      <c r="O339" s="32"/>
      <c r="P339" s="32"/>
      <c r="Q339" s="32"/>
      <c r="R339" s="32"/>
      <c r="S339" s="32"/>
      <c r="T339" s="32"/>
      <c r="U339" s="32"/>
    </row>
    <row r="340" spans="1:21" ht="15">
      <c r="A340" s="318"/>
      <c r="B340" s="552" t="s">
        <v>677</v>
      </c>
      <c r="C340" s="376"/>
      <c r="D340" s="561" t="s">
        <v>891</v>
      </c>
      <c r="E340" s="339"/>
      <c r="F340" s="339"/>
      <c r="G340" s="339"/>
      <c r="H340" s="339"/>
      <c r="I340" s="339"/>
      <c r="J340" s="339"/>
      <c r="K340" s="339"/>
      <c r="L340" s="376"/>
      <c r="M340" s="12"/>
      <c r="N340" s="32"/>
      <c r="O340" s="32"/>
      <c r="P340" s="32"/>
      <c r="Q340" s="32"/>
      <c r="R340" s="32"/>
      <c r="S340" s="32"/>
      <c r="T340" s="32"/>
      <c r="U340" s="32"/>
    </row>
    <row r="341" spans="1:21" ht="15">
      <c r="A341" s="318"/>
      <c r="B341" s="552"/>
      <c r="C341" s="376"/>
      <c r="D341" s="564"/>
      <c r="E341" s="564"/>
      <c r="F341" s="564"/>
      <c r="G341" s="564"/>
      <c r="H341" s="564"/>
      <c r="I341" s="564"/>
      <c r="J341" s="564"/>
      <c r="K341" s="564"/>
      <c r="L341" s="376"/>
      <c r="M341" s="12"/>
      <c r="N341" s="32"/>
      <c r="O341" s="32"/>
      <c r="P341" s="32"/>
      <c r="Q341" s="32"/>
      <c r="R341" s="32"/>
      <c r="S341" s="32"/>
      <c r="T341" s="32"/>
      <c r="U341" s="32"/>
    </row>
    <row r="342" spans="1:21" ht="15" customHeight="1">
      <c r="A342" s="318"/>
      <c r="B342" s="552" t="s">
        <v>678</v>
      </c>
      <c r="C342" s="376"/>
      <c r="D342" s="1241" t="s">
        <v>58</v>
      </c>
      <c r="E342" s="1230"/>
      <c r="F342" s="1230"/>
      <c r="G342" s="1230"/>
      <c r="H342" s="1230"/>
      <c r="I342" s="1230"/>
      <c r="J342" s="1230"/>
      <c r="K342" s="561"/>
      <c r="L342" s="376"/>
      <c r="M342" s="12"/>
      <c r="N342" s="32"/>
      <c r="O342" s="32"/>
      <c r="P342" s="32"/>
      <c r="Q342" s="32"/>
      <c r="R342" s="32"/>
      <c r="S342" s="32"/>
      <c r="T342" s="32"/>
      <c r="U342" s="32"/>
    </row>
    <row r="343" spans="1:21" ht="15">
      <c r="A343" s="318"/>
      <c r="B343" s="552"/>
      <c r="C343" s="376"/>
      <c r="D343" s="1242"/>
      <c r="E343" s="1242"/>
      <c r="F343" s="1242"/>
      <c r="G343" s="1242"/>
      <c r="H343" s="1242"/>
      <c r="I343" s="1242"/>
      <c r="J343" s="1242"/>
      <c r="K343" s="564"/>
      <c r="L343" s="376"/>
      <c r="M343" s="12"/>
      <c r="N343" s="32"/>
      <c r="O343" s="32"/>
      <c r="P343" s="32"/>
      <c r="Q343" s="32"/>
      <c r="R343" s="32"/>
      <c r="S343" s="32"/>
      <c r="T343" s="32"/>
      <c r="U343" s="32"/>
    </row>
    <row r="344" spans="1:21" ht="15">
      <c r="A344" s="318"/>
      <c r="B344" s="552"/>
      <c r="C344" s="376"/>
      <c r="D344" s="1230"/>
      <c r="E344" s="1230"/>
      <c r="F344" s="1230"/>
      <c r="G344" s="1230"/>
      <c r="H344" s="1230"/>
      <c r="I344" s="1230"/>
      <c r="J344" s="1230"/>
      <c r="K344" s="561"/>
      <c r="L344" s="376"/>
      <c r="M344" s="12"/>
      <c r="N344" s="32"/>
      <c r="O344" s="32"/>
      <c r="P344" s="32"/>
      <c r="Q344" s="32"/>
      <c r="R344" s="32"/>
      <c r="S344" s="32"/>
      <c r="T344" s="32"/>
      <c r="U344" s="32"/>
    </row>
    <row r="345" spans="1:21" ht="15">
      <c r="A345" s="318"/>
      <c r="B345" s="552"/>
      <c r="C345" s="376"/>
      <c r="D345" s="376"/>
      <c r="E345" s="376"/>
      <c r="F345" s="376"/>
      <c r="G345" s="376"/>
      <c r="H345" s="376"/>
      <c r="I345" s="376"/>
      <c r="J345" s="376"/>
      <c r="K345" s="376"/>
      <c r="L345" s="376"/>
      <c r="M345" s="12"/>
      <c r="N345" s="32"/>
      <c r="O345" s="32"/>
      <c r="P345" s="32"/>
      <c r="Q345" s="32"/>
      <c r="R345" s="32"/>
      <c r="S345" s="32"/>
      <c r="T345" s="32"/>
      <c r="U345" s="32"/>
    </row>
    <row r="346" spans="1:21" ht="15" customHeight="1">
      <c r="A346" s="318"/>
      <c r="B346" s="334" t="s">
        <v>679</v>
      </c>
      <c r="C346" s="376"/>
      <c r="D346" s="1235" t="s">
        <v>933</v>
      </c>
      <c r="E346" s="1236"/>
      <c r="F346" s="1236"/>
      <c r="G346" s="1236"/>
      <c r="H346" s="1236"/>
      <c r="I346" s="1236"/>
      <c r="J346" s="1236"/>
      <c r="K346" s="1236"/>
      <c r="L346" s="376"/>
      <c r="M346" s="12"/>
      <c r="N346" s="32"/>
      <c r="O346" s="32"/>
      <c r="P346" s="32"/>
      <c r="Q346" s="32"/>
      <c r="R346" s="32"/>
      <c r="S346" s="32"/>
      <c r="T346" s="32"/>
      <c r="U346" s="32"/>
    </row>
    <row r="347" spans="1:21" ht="15">
      <c r="A347" s="318"/>
      <c r="B347" s="552"/>
      <c r="C347" s="376"/>
      <c r="D347" s="376"/>
      <c r="E347" s="376"/>
      <c r="F347" s="376"/>
      <c r="G347" s="376"/>
      <c r="H347" s="376"/>
      <c r="I347" s="376"/>
      <c r="J347" s="376"/>
      <c r="K347" s="376"/>
      <c r="L347" s="376"/>
      <c r="M347" s="12"/>
      <c r="N347" s="32"/>
      <c r="O347" s="32"/>
      <c r="P347" s="32"/>
      <c r="Q347" s="32"/>
      <c r="R347" s="32"/>
      <c r="S347" s="32"/>
      <c r="T347" s="32"/>
      <c r="U347" s="32"/>
    </row>
    <row r="348" spans="1:21" ht="15">
      <c r="A348" s="318"/>
      <c r="B348" s="412" t="s">
        <v>680</v>
      </c>
      <c r="C348" s="326"/>
      <c r="D348" s="336" t="s">
        <v>214</v>
      </c>
      <c r="E348" s="322"/>
      <c r="F348" s="322"/>
      <c r="G348" s="322"/>
      <c r="H348" s="322"/>
      <c r="I348" s="322"/>
      <c r="J348" s="322"/>
      <c r="K348" s="322"/>
      <c r="L348" s="322"/>
      <c r="M348" s="12"/>
      <c r="N348" s="32"/>
      <c r="O348" s="32"/>
      <c r="P348" s="32"/>
      <c r="Q348" s="32"/>
      <c r="R348" s="32"/>
      <c r="S348" s="32"/>
      <c r="T348" s="32"/>
      <c r="U348" s="32"/>
    </row>
    <row r="349" spans="1:21" ht="15">
      <c r="A349" s="318"/>
      <c r="B349" s="334"/>
      <c r="C349" s="326"/>
      <c r="D349" s="336" t="s">
        <v>407</v>
      </c>
      <c r="E349" s="322"/>
      <c r="F349" s="322"/>
      <c r="G349" s="322"/>
      <c r="H349" s="322"/>
      <c r="I349" s="322"/>
      <c r="J349" s="322"/>
      <c r="K349" s="322"/>
      <c r="L349" s="322"/>
      <c r="M349" s="12"/>
      <c r="N349" s="32"/>
      <c r="O349" s="32"/>
      <c r="P349" s="32"/>
      <c r="Q349" s="32"/>
      <c r="R349" s="32"/>
      <c r="S349" s="32"/>
      <c r="T349" s="32"/>
      <c r="U349" s="32"/>
    </row>
    <row r="350" spans="1:21" ht="15">
      <c r="A350" s="318"/>
      <c r="B350" s="334"/>
      <c r="C350" s="326"/>
      <c r="D350" s="336" t="s">
        <v>408</v>
      </c>
      <c r="E350" s="322"/>
      <c r="F350" s="322"/>
      <c r="G350" s="322"/>
      <c r="H350" s="322"/>
      <c r="I350" s="322"/>
      <c r="J350" s="322"/>
      <c r="K350" s="322"/>
      <c r="L350" s="322"/>
      <c r="M350" s="12"/>
      <c r="N350" s="32"/>
      <c r="O350" s="32"/>
      <c r="P350" s="32"/>
      <c r="Q350" s="32"/>
      <c r="R350" s="32"/>
      <c r="S350" s="32"/>
      <c r="T350" s="32"/>
      <c r="U350" s="32"/>
    </row>
    <row r="351" spans="1:21" ht="15">
      <c r="A351" s="318"/>
      <c r="B351" s="334"/>
      <c r="C351" s="326"/>
      <c r="D351" s="376" t="s">
        <v>409</v>
      </c>
      <c r="E351" s="322"/>
      <c r="F351" s="322"/>
      <c r="G351" s="322"/>
      <c r="H351" s="322"/>
      <c r="I351" s="322"/>
      <c r="J351" s="322"/>
      <c r="K351" s="322"/>
      <c r="L351" s="322"/>
      <c r="M351" s="12"/>
      <c r="N351" s="32"/>
      <c r="O351" s="32"/>
      <c r="P351" s="32"/>
      <c r="Q351" s="32"/>
      <c r="R351" s="32"/>
      <c r="S351" s="32"/>
      <c r="T351" s="32"/>
      <c r="U351" s="32"/>
    </row>
    <row r="352" spans="1:21" ht="15">
      <c r="A352" s="318"/>
      <c r="B352" s="334"/>
      <c r="C352" s="326"/>
      <c r="D352" s="376"/>
      <c r="E352" s="322"/>
      <c r="F352" s="322"/>
      <c r="G352" s="322"/>
      <c r="H352" s="322"/>
      <c r="I352" s="322"/>
      <c r="J352" s="322"/>
      <c r="K352" s="322"/>
      <c r="L352" s="322"/>
      <c r="M352" s="12"/>
      <c r="N352" s="32"/>
      <c r="O352" s="32"/>
      <c r="P352" s="32"/>
      <c r="Q352" s="32"/>
      <c r="R352" s="32"/>
      <c r="S352" s="32"/>
      <c r="T352" s="32"/>
      <c r="U352" s="32"/>
    </row>
    <row r="353" spans="1:21" ht="15" customHeight="1">
      <c r="A353" s="318"/>
      <c r="B353" s="334" t="s">
        <v>681</v>
      </c>
      <c r="C353" s="326"/>
      <c r="D353" s="1243" t="s">
        <v>934</v>
      </c>
      <c r="E353" s="1243"/>
      <c r="F353" s="1243"/>
      <c r="G353" s="1243"/>
      <c r="H353" s="1243"/>
      <c r="I353" s="1243"/>
      <c r="J353" s="1243"/>
      <c r="K353" s="1243"/>
      <c r="L353" s="1243"/>
      <c r="M353" s="12"/>
      <c r="N353" s="32"/>
      <c r="O353" s="32"/>
      <c r="P353" s="32"/>
      <c r="Q353" s="32"/>
      <c r="R353" s="32"/>
      <c r="S353" s="32"/>
      <c r="T353" s="32"/>
      <c r="U353" s="32"/>
    </row>
    <row r="354" spans="1:21" ht="15">
      <c r="A354" s="318"/>
      <c r="B354" s="334"/>
      <c r="C354" s="326"/>
      <c r="D354" s="1243"/>
      <c r="E354" s="1243"/>
      <c r="F354" s="1243"/>
      <c r="G354" s="1243"/>
      <c r="H354" s="1243"/>
      <c r="I354" s="1243"/>
      <c r="J354" s="1243"/>
      <c r="K354" s="1243"/>
      <c r="L354" s="1243"/>
      <c r="M354" s="12"/>
      <c r="N354" s="32"/>
      <c r="O354" s="32"/>
      <c r="P354" s="32"/>
      <c r="Q354" s="32"/>
      <c r="R354" s="32"/>
      <c r="S354" s="32"/>
      <c r="T354" s="32"/>
      <c r="U354" s="32"/>
    </row>
    <row r="355" spans="1:21" ht="15">
      <c r="A355" s="318"/>
      <c r="B355" s="334"/>
      <c r="C355" s="326"/>
      <c r="D355" s="1243"/>
      <c r="E355" s="1243"/>
      <c r="F355" s="1243"/>
      <c r="G355" s="1243"/>
      <c r="H355" s="1243"/>
      <c r="I355" s="1243"/>
      <c r="J355" s="1243"/>
      <c r="K355" s="1243"/>
      <c r="L355" s="1243"/>
      <c r="M355" s="12"/>
      <c r="N355" s="32"/>
      <c r="O355" s="32"/>
      <c r="P355" s="32"/>
      <c r="Q355" s="32"/>
      <c r="R355" s="32"/>
      <c r="S355" s="32"/>
      <c r="T355" s="32"/>
      <c r="U355" s="32"/>
    </row>
    <row r="356" spans="1:21" ht="15">
      <c r="A356" s="318"/>
      <c r="B356" s="334"/>
      <c r="C356" s="326"/>
      <c r="D356" s="565"/>
      <c r="E356" s="322"/>
      <c r="F356" s="322"/>
      <c r="G356" s="322"/>
      <c r="H356" s="322"/>
      <c r="I356" s="322"/>
      <c r="J356" s="322"/>
      <c r="K356" s="322"/>
      <c r="L356" s="322"/>
      <c r="M356" s="12"/>
      <c r="N356" s="32"/>
      <c r="O356" s="32"/>
      <c r="P356" s="32"/>
      <c r="Q356" s="32"/>
      <c r="R356" s="32"/>
      <c r="S356" s="32"/>
      <c r="T356" s="32"/>
      <c r="U356" s="32"/>
    </row>
    <row r="357" spans="1:21" ht="15">
      <c r="A357" s="318"/>
      <c r="B357" s="424" t="s">
        <v>87</v>
      </c>
      <c r="C357" s="326"/>
      <c r="D357" s="336" t="s">
        <v>879</v>
      </c>
      <c r="E357" s="348"/>
      <c r="F357" s="348"/>
      <c r="G357" s="348"/>
      <c r="H357" s="348"/>
      <c r="I357" s="348"/>
      <c r="J357" s="348"/>
      <c r="K357" s="376"/>
      <c r="L357" s="376"/>
      <c r="M357" s="12"/>
      <c r="N357" s="32"/>
      <c r="O357" s="32"/>
      <c r="P357" s="32"/>
      <c r="Q357" s="32"/>
      <c r="R357" s="32"/>
      <c r="S357" s="32"/>
      <c r="T357" s="32"/>
      <c r="U357" s="32"/>
    </row>
    <row r="358" spans="1:21" ht="15">
      <c r="A358" s="318"/>
      <c r="B358" s="424"/>
      <c r="C358" s="326"/>
      <c r="D358" s="348"/>
      <c r="E358" s="348"/>
      <c r="F358" s="348"/>
      <c r="G358" s="348"/>
      <c r="H358" s="348"/>
      <c r="I358" s="348"/>
      <c r="J358" s="348"/>
      <c r="K358" s="376"/>
      <c r="L358" s="376"/>
      <c r="M358" s="12"/>
      <c r="N358" s="32"/>
      <c r="O358" s="32"/>
      <c r="P358" s="32"/>
      <c r="Q358" s="32"/>
      <c r="R358" s="32"/>
      <c r="S358" s="32"/>
      <c r="T358" s="32"/>
      <c r="U358" s="32"/>
    </row>
    <row r="359" spans="1:21" ht="15">
      <c r="A359" s="318"/>
      <c r="B359" s="334" t="s">
        <v>151</v>
      </c>
      <c r="C359" s="326"/>
      <c r="D359" s="336" t="s">
        <v>192</v>
      </c>
      <c r="E359" s="376"/>
      <c r="F359" s="376"/>
      <c r="G359" s="376"/>
      <c r="H359" s="376"/>
      <c r="I359" s="376"/>
      <c r="J359" s="376"/>
      <c r="K359" s="376"/>
      <c r="L359" s="376"/>
      <c r="M359" s="12"/>
      <c r="N359" s="32"/>
      <c r="O359" s="32"/>
      <c r="P359" s="32"/>
      <c r="Q359" s="32"/>
      <c r="R359" s="32"/>
      <c r="S359" s="32"/>
      <c r="T359" s="32"/>
      <c r="U359" s="32"/>
    </row>
    <row r="360" spans="1:21" ht="15">
      <c r="A360" s="318"/>
      <c r="B360" s="424"/>
      <c r="C360" s="326"/>
      <c r="D360" s="336" t="s">
        <v>73</v>
      </c>
      <c r="E360" s="376"/>
      <c r="F360" s="376"/>
      <c r="G360" s="376"/>
      <c r="H360" s="376"/>
      <c r="I360" s="376"/>
      <c r="J360" s="376"/>
      <c r="K360" s="376"/>
      <c r="L360" s="376"/>
      <c r="M360" s="12"/>
      <c r="N360" s="32"/>
      <c r="O360" s="32"/>
      <c r="P360" s="32"/>
      <c r="Q360" s="32"/>
      <c r="R360" s="32"/>
      <c r="S360" s="32"/>
      <c r="T360" s="32"/>
      <c r="U360" s="32"/>
    </row>
    <row r="361" spans="1:21" ht="15">
      <c r="A361" s="318"/>
      <c r="B361" s="424"/>
      <c r="C361" s="326"/>
      <c r="D361" s="336" t="s">
        <v>74</v>
      </c>
      <c r="E361" s="376"/>
      <c r="F361" s="376"/>
      <c r="G361" s="376"/>
      <c r="H361" s="376"/>
      <c r="I361" s="376"/>
      <c r="J361" s="376"/>
      <c r="K361" s="376"/>
      <c r="L361" s="376"/>
      <c r="M361" s="12"/>
      <c r="N361" s="32"/>
      <c r="O361" s="32"/>
      <c r="P361" s="32"/>
      <c r="Q361" s="32"/>
      <c r="R361" s="32"/>
      <c r="S361" s="32"/>
      <c r="T361" s="32"/>
      <c r="U361" s="32"/>
    </row>
    <row r="362" spans="1:21" ht="15">
      <c r="A362" s="318"/>
      <c r="B362" s="424"/>
      <c r="C362" s="326"/>
      <c r="D362" s="336" t="s">
        <v>75</v>
      </c>
      <c r="E362" s="376"/>
      <c r="F362" s="376"/>
      <c r="G362" s="376"/>
      <c r="H362" s="376"/>
      <c r="I362" s="376"/>
      <c r="J362" s="376"/>
      <c r="K362" s="376"/>
      <c r="L362" s="376"/>
      <c r="M362" s="12"/>
      <c r="N362" s="32"/>
      <c r="O362" s="32"/>
      <c r="P362" s="32"/>
      <c r="Q362" s="32"/>
      <c r="R362" s="32"/>
      <c r="S362" s="32"/>
      <c r="T362" s="32"/>
      <c r="U362" s="32"/>
    </row>
    <row r="363" spans="1:21" ht="15">
      <c r="A363" s="318"/>
      <c r="B363" s="334"/>
      <c r="C363" s="326"/>
      <c r="D363" s="336" t="str">
        <f>"(ln "&amp;B199&amp;") multiplied by (1/1-T) .  If the applicable tax rates are zero enter 0."</f>
        <v>(ln 129) multiplied by (1/1-T) .  If the applicable tax rates are zero enter 0.</v>
      </c>
      <c r="E363" s="318"/>
      <c r="F363" s="318"/>
      <c r="G363" s="318"/>
      <c r="H363" s="376"/>
      <c r="I363" s="376"/>
      <c r="J363" s="376"/>
      <c r="K363" s="376"/>
      <c r="L363" s="376"/>
      <c r="M363" s="12"/>
      <c r="N363" s="32"/>
      <c r="O363" s="32"/>
      <c r="P363" s="32"/>
      <c r="Q363" s="32"/>
      <c r="R363" s="32"/>
      <c r="S363" s="32"/>
      <c r="T363" s="32"/>
      <c r="U363" s="32"/>
    </row>
    <row r="364" spans="1:21" ht="15">
      <c r="A364" s="318"/>
      <c r="B364" s="566"/>
      <c r="C364" s="322"/>
      <c r="D364" s="336" t="s">
        <v>193</v>
      </c>
      <c r="E364" s="322" t="s">
        <v>194</v>
      </c>
      <c r="F364" s="309">
        <v>0.35</v>
      </c>
      <c r="G364" s="322"/>
      <c r="H364" s="376"/>
      <c r="I364" s="376"/>
      <c r="J364" s="376"/>
      <c r="K364" s="376"/>
      <c r="L364" s="376"/>
      <c r="M364" s="12"/>
      <c r="N364" s="32"/>
      <c r="O364" s="32"/>
      <c r="P364" s="32"/>
      <c r="Q364" s="32"/>
      <c r="R364" s="32"/>
      <c r="S364" s="32"/>
      <c r="T364" s="32"/>
      <c r="U364" s="32"/>
    </row>
    <row r="365" spans="1:21" ht="15">
      <c r="A365" s="318"/>
      <c r="B365" s="566"/>
      <c r="C365" s="322"/>
      <c r="D365" s="336"/>
      <c r="E365" s="322" t="s">
        <v>195</v>
      </c>
      <c r="F365" s="554">
        <f>+'WS G  State Tax Rate'!F27</f>
        <v>0.06</v>
      </c>
      <c r="G365" s="322" t="s">
        <v>437</v>
      </c>
      <c r="H365" s="376"/>
      <c r="I365" s="376"/>
      <c r="J365" s="376"/>
      <c r="K365" s="376"/>
      <c r="L365" s="376"/>
      <c r="M365" s="12"/>
      <c r="N365" s="32"/>
      <c r="O365" s="32"/>
      <c r="P365" s="32"/>
      <c r="Q365" s="32"/>
      <c r="R365" s="32"/>
      <c r="S365" s="32"/>
      <c r="T365" s="32"/>
      <c r="U365" s="32"/>
    </row>
    <row r="366" spans="1:21" ht="15">
      <c r="A366" s="318"/>
      <c r="B366" s="566"/>
      <c r="C366" s="322"/>
      <c r="D366" s="336"/>
      <c r="E366" s="322" t="s">
        <v>196</v>
      </c>
      <c r="F366" s="309">
        <v>0</v>
      </c>
      <c r="G366" s="322" t="s">
        <v>197</v>
      </c>
      <c r="H366" s="376"/>
      <c r="I366" s="376"/>
      <c r="J366" s="376"/>
      <c r="K366" s="376"/>
      <c r="L366" s="376"/>
      <c r="M366" s="12"/>
      <c r="N366" s="32"/>
      <c r="O366" s="32"/>
      <c r="P366" s="32"/>
      <c r="Q366" s="32"/>
      <c r="R366" s="32"/>
      <c r="S366" s="32"/>
      <c r="T366" s="32"/>
      <c r="U366" s="32"/>
    </row>
    <row r="367" spans="1:21" ht="15">
      <c r="A367" s="318"/>
      <c r="B367" s="424"/>
      <c r="C367" s="326"/>
      <c r="D367" s="336" t="s">
        <v>892</v>
      </c>
      <c r="E367" s="376"/>
      <c r="F367" s="376"/>
      <c r="G367" s="376"/>
      <c r="H367" s="376"/>
      <c r="I367" s="376"/>
      <c r="J367" s="376"/>
      <c r="K367" s="376"/>
      <c r="L367" s="376"/>
      <c r="M367" s="17"/>
      <c r="N367" s="32"/>
      <c r="O367" s="32"/>
      <c r="P367" s="32"/>
      <c r="Q367" s="32"/>
      <c r="R367" s="32"/>
      <c r="S367" s="32"/>
      <c r="T367" s="32"/>
      <c r="U367" s="32"/>
    </row>
    <row r="368" spans="1:21" ht="15">
      <c r="A368" s="318"/>
      <c r="B368" s="424"/>
      <c r="C368" s="326"/>
      <c r="D368" s="336" t="s">
        <v>893</v>
      </c>
      <c r="E368" s="376"/>
      <c r="F368" s="376"/>
      <c r="G368" s="376"/>
      <c r="H368" s="376"/>
      <c r="I368" s="376"/>
      <c r="J368" s="376"/>
      <c r="K368" s="376"/>
      <c r="L368" s="376"/>
      <c r="M368" s="17"/>
      <c r="N368" s="32"/>
      <c r="O368" s="32"/>
      <c r="P368" s="32"/>
      <c r="Q368" s="32"/>
      <c r="R368" s="32"/>
      <c r="S368" s="32"/>
      <c r="T368" s="32"/>
      <c r="U368" s="32"/>
    </row>
    <row r="369" spans="1:21" ht="15">
      <c r="A369" s="318"/>
      <c r="B369" s="424"/>
      <c r="C369" s="326"/>
      <c r="D369" s="336"/>
      <c r="E369" s="376"/>
      <c r="F369" s="376"/>
      <c r="G369" s="376"/>
      <c r="H369" s="376"/>
      <c r="I369" s="376"/>
      <c r="J369" s="376"/>
      <c r="K369" s="376"/>
      <c r="L369" s="376"/>
      <c r="M369" s="17"/>
      <c r="N369" s="32"/>
      <c r="O369" s="32"/>
      <c r="P369" s="32"/>
      <c r="Q369" s="32"/>
      <c r="R369" s="32"/>
      <c r="S369" s="32"/>
      <c r="T369" s="32"/>
      <c r="U369" s="32"/>
    </row>
    <row r="370" spans="1:21" ht="15">
      <c r="A370" s="318"/>
      <c r="B370" s="334" t="s">
        <v>198</v>
      </c>
      <c r="C370" s="326"/>
      <c r="D370" s="336" t="s">
        <v>804</v>
      </c>
      <c r="E370" s="376"/>
      <c r="F370" s="376"/>
      <c r="G370" s="376"/>
      <c r="H370" s="376"/>
      <c r="I370" s="376"/>
      <c r="J370" s="376"/>
      <c r="K370" s="376"/>
      <c r="L370" s="376"/>
      <c r="M370" s="12"/>
      <c r="N370" s="32"/>
      <c r="O370" s="32"/>
      <c r="P370" s="32"/>
      <c r="Q370" s="32"/>
      <c r="R370" s="32"/>
      <c r="S370" s="32"/>
      <c r="T370" s="32"/>
      <c r="U370" s="32"/>
    </row>
    <row r="371" spans="1:21" ht="15">
      <c r="A371" s="318"/>
      <c r="B371" s="318"/>
      <c r="C371" s="318"/>
      <c r="D371" s="336"/>
      <c r="E371" s="376"/>
      <c r="F371" s="376"/>
      <c r="G371" s="376"/>
      <c r="H371" s="376"/>
      <c r="I371" s="376"/>
      <c r="J371" s="376"/>
      <c r="K371" s="376"/>
      <c r="L371" s="376"/>
      <c r="M371" s="12"/>
      <c r="N371" s="32"/>
      <c r="O371" s="32"/>
      <c r="P371" s="32"/>
      <c r="Q371" s="32"/>
      <c r="R371" s="32"/>
      <c r="S371" s="32"/>
      <c r="T371" s="32"/>
      <c r="U371" s="32"/>
    </row>
    <row r="372" spans="1:21" ht="15">
      <c r="A372" s="318"/>
      <c r="B372" s="334" t="s">
        <v>199</v>
      </c>
      <c r="C372" s="326"/>
      <c r="D372" s="336" t="s">
        <v>578</v>
      </c>
      <c r="E372" s="376"/>
      <c r="F372" s="376"/>
      <c r="G372" s="376"/>
      <c r="H372" s="376"/>
      <c r="I372" s="376"/>
      <c r="J372" s="376"/>
      <c r="K372" s="376"/>
      <c r="L372" s="376"/>
      <c r="M372" s="12"/>
      <c r="N372" s="32"/>
      <c r="O372" s="32"/>
      <c r="P372" s="32"/>
      <c r="Q372" s="32"/>
      <c r="R372" s="32"/>
      <c r="S372" s="32"/>
      <c r="T372" s="32"/>
      <c r="U372" s="32"/>
    </row>
    <row r="373" spans="1:21" ht="15">
      <c r="A373" s="318"/>
      <c r="B373" s="334"/>
      <c r="C373" s="326"/>
      <c r="D373" s="336"/>
      <c r="E373" s="322"/>
      <c r="F373" s="322"/>
      <c r="G373" s="322"/>
      <c r="H373" s="322"/>
      <c r="I373" s="322"/>
      <c r="J373" s="322"/>
      <c r="K373" s="322"/>
      <c r="L373" s="322"/>
      <c r="M373" s="17"/>
      <c r="N373" s="32"/>
      <c r="O373" s="32"/>
      <c r="P373" s="32"/>
      <c r="Q373" s="32"/>
      <c r="R373" s="32"/>
      <c r="S373" s="32"/>
      <c r="T373" s="32"/>
      <c r="U373" s="32"/>
    </row>
    <row r="374" spans="1:21" ht="15">
      <c r="A374" s="318"/>
      <c r="B374" s="334" t="s">
        <v>200</v>
      </c>
      <c r="C374" s="326"/>
      <c r="D374" s="336" t="s">
        <v>952</v>
      </c>
      <c r="E374" s="322"/>
      <c r="F374" s="322"/>
      <c r="G374" s="322"/>
      <c r="H374" s="322"/>
      <c r="I374" s="322"/>
      <c r="J374" s="322"/>
      <c r="K374" s="322"/>
      <c r="L374" s="322"/>
      <c r="M374" s="17"/>
      <c r="N374" s="32"/>
      <c r="O374" s="32"/>
      <c r="P374" s="32"/>
      <c r="Q374" s="32"/>
      <c r="R374" s="32"/>
      <c r="S374" s="32"/>
      <c r="T374" s="32"/>
      <c r="U374" s="32"/>
    </row>
    <row r="375" spans="1:21" ht="15">
      <c r="A375" s="318"/>
      <c r="B375" s="334"/>
      <c r="C375" s="326"/>
      <c r="D375" s="336"/>
      <c r="E375" s="322"/>
      <c r="F375" s="322"/>
      <c r="G375" s="322"/>
      <c r="H375" s="322"/>
      <c r="I375" s="322"/>
      <c r="J375" s="322"/>
      <c r="K375" s="322"/>
      <c r="L375" s="322"/>
      <c r="M375" s="17"/>
      <c r="N375" s="32"/>
      <c r="O375" s="32"/>
      <c r="P375" s="32"/>
      <c r="Q375" s="32"/>
      <c r="R375" s="32"/>
      <c r="S375" s="32"/>
      <c r="T375" s="32"/>
      <c r="U375" s="32"/>
    </row>
    <row r="376" spans="1:21" ht="15.75" customHeight="1">
      <c r="A376" s="318"/>
      <c r="B376" s="567" t="s">
        <v>201</v>
      </c>
      <c r="C376" s="568"/>
      <c r="D376" s="1232" t="s">
        <v>953</v>
      </c>
      <c r="E376" s="1232"/>
      <c r="F376" s="1232"/>
      <c r="G376" s="1232"/>
      <c r="H376" s="1232"/>
      <c r="I376" s="1232"/>
      <c r="J376" s="1232"/>
      <c r="K376" s="318"/>
      <c r="L376" s="318"/>
      <c r="M376"/>
      <c r="N376"/>
      <c r="O376" s="32"/>
      <c r="P376" s="32"/>
      <c r="Q376" s="32"/>
      <c r="R376" s="32"/>
      <c r="S376" s="32"/>
      <c r="T376" s="32"/>
      <c r="U376" s="32"/>
    </row>
    <row r="377" spans="1:21" ht="15.75">
      <c r="A377" s="318"/>
      <c r="B377" s="568"/>
      <c r="C377" s="568"/>
      <c r="D377" s="1232"/>
      <c r="E377" s="1232"/>
      <c r="F377" s="1232"/>
      <c r="G377" s="1232"/>
      <c r="H377" s="1232"/>
      <c r="I377" s="1232"/>
      <c r="J377" s="1232"/>
      <c r="K377" s="318"/>
      <c r="L377" s="318"/>
      <c r="M377"/>
      <c r="N377"/>
      <c r="O377" s="32"/>
      <c r="P377" s="32"/>
      <c r="Q377" s="32"/>
      <c r="R377" s="32"/>
      <c r="S377" s="32"/>
      <c r="T377" s="32"/>
      <c r="U377" s="32"/>
    </row>
    <row r="378" spans="1:21" ht="15.75">
      <c r="A378" s="318"/>
      <c r="B378" s="568"/>
      <c r="C378" s="568"/>
      <c r="D378" s="1232"/>
      <c r="E378" s="1232"/>
      <c r="F378" s="1232"/>
      <c r="G378" s="1232"/>
      <c r="H378" s="1232"/>
      <c r="I378" s="1232"/>
      <c r="J378" s="1232"/>
      <c r="K378" s="318"/>
      <c r="L378" s="318"/>
      <c r="M378"/>
      <c r="N378"/>
      <c r="O378" s="32"/>
      <c r="P378" s="32"/>
      <c r="Q378" s="32"/>
      <c r="R378" s="32"/>
      <c r="S378" s="32"/>
      <c r="T378" s="32"/>
      <c r="U378" s="32"/>
    </row>
    <row r="379" spans="1:21" ht="15.75">
      <c r="A379" s="318"/>
      <c r="B379" s="568"/>
      <c r="C379" s="568"/>
      <c r="D379" s="1232"/>
      <c r="E379" s="1232"/>
      <c r="F379" s="1232"/>
      <c r="G379" s="1232"/>
      <c r="H379" s="1232"/>
      <c r="I379" s="1232"/>
      <c r="J379" s="1232"/>
      <c r="K379" s="318"/>
      <c r="L379" s="318"/>
      <c r="M379"/>
      <c r="N379"/>
      <c r="O379" s="32"/>
      <c r="P379" s="32"/>
      <c r="Q379" s="32"/>
      <c r="R379" s="32"/>
      <c r="S379" s="32"/>
      <c r="T379" s="32"/>
      <c r="U379" s="32"/>
    </row>
    <row r="380" spans="1:21" ht="21" customHeight="1">
      <c r="A380" s="318"/>
      <c r="B380" s="568"/>
      <c r="C380" s="568"/>
      <c r="D380" s="1232"/>
      <c r="E380" s="1232"/>
      <c r="F380" s="1232"/>
      <c r="G380" s="1232"/>
      <c r="H380" s="1232"/>
      <c r="I380" s="1232"/>
      <c r="J380" s="1232"/>
      <c r="K380" s="318"/>
      <c r="L380" s="318"/>
      <c r="M380"/>
      <c r="N380"/>
      <c r="O380" s="32"/>
      <c r="P380" s="32"/>
      <c r="Q380" s="32"/>
      <c r="R380" s="32"/>
      <c r="S380" s="32"/>
      <c r="T380" s="32"/>
      <c r="U380" s="32"/>
    </row>
    <row r="381" spans="1:21" ht="21" customHeight="1">
      <c r="A381" s="318"/>
      <c r="B381" s="568"/>
      <c r="C381" s="568"/>
      <c r="D381" s="1232"/>
      <c r="E381" s="1232"/>
      <c r="F381" s="1232"/>
      <c r="G381" s="1232"/>
      <c r="H381" s="1232"/>
      <c r="I381" s="1232"/>
      <c r="J381" s="1232"/>
      <c r="K381" s="318"/>
      <c r="L381" s="318"/>
      <c r="M381"/>
      <c r="N381"/>
      <c r="O381" s="32"/>
      <c r="P381" s="32"/>
      <c r="Q381" s="32"/>
      <c r="R381" s="32"/>
      <c r="S381" s="32"/>
      <c r="T381" s="32"/>
      <c r="U381" s="32"/>
    </row>
    <row r="382" spans="1:21" ht="55.5" customHeight="1">
      <c r="A382" s="318"/>
      <c r="B382" s="568"/>
      <c r="C382" s="568"/>
      <c r="D382" s="1232"/>
      <c r="E382" s="1232"/>
      <c r="F382" s="1232"/>
      <c r="G382" s="1232"/>
      <c r="H382" s="1232"/>
      <c r="I382" s="1232"/>
      <c r="J382" s="1232"/>
      <c r="K382" s="318"/>
      <c r="L382" s="318"/>
      <c r="M382"/>
      <c r="N382"/>
      <c r="O382" s="32"/>
      <c r="P382" s="32"/>
      <c r="Q382" s="32"/>
      <c r="R382" s="32"/>
      <c r="S382" s="32"/>
      <c r="T382" s="32"/>
      <c r="U382" s="32"/>
    </row>
    <row r="383" spans="1:21" ht="36" customHeight="1">
      <c r="A383" s="318"/>
      <c r="B383" s="334" t="s">
        <v>277</v>
      </c>
      <c r="C383" s="568"/>
      <c r="D383" s="1232" t="s">
        <v>894</v>
      </c>
      <c r="E383" s="1238"/>
      <c r="F383" s="1238"/>
      <c r="G383" s="1238"/>
      <c r="H383" s="1238"/>
      <c r="I383" s="1238"/>
      <c r="J383" s="1238"/>
      <c r="K383" s="318"/>
      <c r="L383" s="318"/>
      <c r="M383"/>
      <c r="N383"/>
      <c r="O383" s="32"/>
      <c r="P383" s="32"/>
      <c r="Q383" s="32"/>
      <c r="R383" s="32"/>
      <c r="S383" s="32"/>
      <c r="T383" s="32"/>
      <c r="U383" s="32"/>
    </row>
    <row r="384" spans="1:21" ht="51" customHeight="1">
      <c r="A384" s="318"/>
      <c r="B384" s="334" t="s">
        <v>844</v>
      </c>
      <c r="C384" s="569"/>
      <c r="D384" s="1233" t="s">
        <v>895</v>
      </c>
      <c r="E384" s="1233"/>
      <c r="F384" s="1233"/>
      <c r="G384" s="1233"/>
      <c r="H384" s="1233"/>
      <c r="I384" s="1233"/>
      <c r="J384" s="1233"/>
      <c r="K384" s="570"/>
      <c r="L384" s="570"/>
      <c r="M384" s="17"/>
      <c r="N384" s="32"/>
      <c r="O384" s="32"/>
      <c r="P384" s="32"/>
      <c r="Q384" s="32"/>
      <c r="R384" s="32"/>
      <c r="S384" s="32"/>
      <c r="T384" s="32"/>
      <c r="U384" s="32"/>
    </row>
    <row r="385" spans="1:21" ht="15">
      <c r="A385" s="318"/>
      <c r="B385" s="334"/>
      <c r="C385" s="326"/>
      <c r="D385" s="318" t="s">
        <v>637</v>
      </c>
      <c r="E385" s="318"/>
      <c r="F385" s="318"/>
      <c r="G385" s="318"/>
      <c r="H385" s="318"/>
      <c r="I385" s="318"/>
      <c r="J385" s="318"/>
      <c r="K385" s="318"/>
      <c r="L385" s="318"/>
      <c r="M385" s="17"/>
      <c r="N385" s="32"/>
      <c r="O385" s="32"/>
      <c r="P385" s="32"/>
      <c r="Q385" s="32"/>
      <c r="R385" s="32"/>
      <c r="S385" s="32"/>
      <c r="T385" s="32"/>
      <c r="U385" s="32"/>
    </row>
    <row r="386" spans="1:21" ht="15">
      <c r="A386" s="318"/>
      <c r="B386" s="334" t="s">
        <v>896</v>
      </c>
      <c r="C386" s="326"/>
      <c r="D386" s="318" t="s">
        <v>897</v>
      </c>
      <c r="E386" s="318"/>
      <c r="F386" s="318"/>
      <c r="G386" s="318"/>
      <c r="H386" s="318"/>
      <c r="I386" s="318"/>
      <c r="J386" s="318"/>
      <c r="K386" s="318"/>
      <c r="L386" s="318"/>
      <c r="M386" s="17"/>
      <c r="N386" s="32"/>
      <c r="O386" s="32"/>
      <c r="P386" s="32"/>
      <c r="Q386" s="32"/>
      <c r="R386" s="32"/>
      <c r="S386" s="32"/>
      <c r="T386" s="32"/>
      <c r="U386" s="32"/>
    </row>
    <row r="387" spans="1:21" ht="15">
      <c r="A387" s="318"/>
      <c r="B387" s="334"/>
      <c r="C387" s="326"/>
      <c r="D387" s="318"/>
      <c r="E387" s="318"/>
      <c r="F387" s="318"/>
      <c r="G387" s="318"/>
      <c r="H387" s="318"/>
      <c r="I387" s="318"/>
      <c r="J387" s="318"/>
      <c r="K387" s="318"/>
      <c r="L387" s="318"/>
      <c r="M387" s="17"/>
      <c r="N387" s="32"/>
      <c r="O387" s="32"/>
      <c r="P387" s="32"/>
      <c r="Q387" s="32"/>
      <c r="R387" s="32"/>
      <c r="S387" s="32"/>
      <c r="T387" s="32"/>
      <c r="U387" s="32"/>
    </row>
    <row r="388" spans="1:21" ht="41.25" customHeight="1">
      <c r="A388" s="318"/>
      <c r="B388" s="334" t="s">
        <v>898</v>
      </c>
      <c r="C388" s="326"/>
      <c r="D388" s="1237" t="s">
        <v>899</v>
      </c>
      <c r="E388" s="1237"/>
      <c r="F388" s="1237"/>
      <c r="G388" s="1237"/>
      <c r="H388" s="1237"/>
      <c r="I388" s="1237"/>
      <c r="J388" s="1237"/>
      <c r="K388" s="1237"/>
      <c r="L388" s="318"/>
      <c r="M388" s="17"/>
      <c r="N388" s="32"/>
      <c r="O388" s="32"/>
      <c r="P388" s="32"/>
      <c r="Q388" s="32"/>
      <c r="R388" s="32"/>
      <c r="S388" s="32"/>
      <c r="T388" s="32"/>
      <c r="U388" s="32"/>
    </row>
    <row r="389" spans="1:21" ht="15">
      <c r="A389" s="318"/>
      <c r="B389" s="352"/>
      <c r="C389" s="352"/>
      <c r="D389" s="352"/>
      <c r="E389" s="352"/>
      <c r="F389" s="352"/>
      <c r="G389" s="352"/>
      <c r="H389" s="352"/>
      <c r="I389" s="318"/>
      <c r="J389" s="318"/>
      <c r="K389" s="318"/>
      <c r="L389" s="318"/>
      <c r="M389" s="17"/>
      <c r="N389" s="32"/>
      <c r="O389" s="32"/>
      <c r="P389" s="32"/>
      <c r="Q389" s="32"/>
      <c r="R389" s="32"/>
      <c r="S389" s="32"/>
      <c r="T389" s="32"/>
      <c r="U389" s="32"/>
    </row>
    <row r="390" spans="1:21" ht="45" customHeight="1">
      <c r="A390" s="318"/>
      <c r="B390" s="426" t="s">
        <v>926</v>
      </c>
      <c r="C390" s="352"/>
      <c r="D390" s="1237" t="s">
        <v>935</v>
      </c>
      <c r="E390" s="1237"/>
      <c r="F390" s="1237"/>
      <c r="G390" s="1237"/>
      <c r="H390" s="1237"/>
      <c r="I390" s="1237"/>
      <c r="J390" s="1237"/>
      <c r="K390" s="1237"/>
      <c r="L390" s="318"/>
      <c r="M390" s="17"/>
      <c r="N390" s="32"/>
      <c r="O390" s="32"/>
      <c r="P390" s="32"/>
      <c r="Q390" s="32"/>
      <c r="R390" s="32"/>
      <c r="S390" s="32"/>
      <c r="T390" s="32"/>
      <c r="U390" s="32"/>
    </row>
    <row r="391" spans="1:21" ht="15">
      <c r="A391" s="318"/>
      <c r="B391" s="352"/>
      <c r="C391" s="352"/>
      <c r="D391" s="352"/>
      <c r="E391" s="352"/>
      <c r="F391" s="352"/>
      <c r="G391" s="352"/>
      <c r="H391" s="352"/>
      <c r="I391" s="318"/>
      <c r="J391" s="318"/>
      <c r="K391" s="318"/>
      <c r="L391" s="318"/>
      <c r="M391" s="17"/>
      <c r="N391" s="32"/>
      <c r="O391" s="32"/>
      <c r="P391" s="32"/>
      <c r="Q391" s="32"/>
      <c r="R391" s="32"/>
      <c r="S391" s="32"/>
      <c r="T391" s="32"/>
      <c r="U391" s="32"/>
    </row>
    <row r="392" spans="1:21" ht="15">
      <c r="A392" s="318"/>
      <c r="B392" s="352"/>
      <c r="C392" s="352"/>
      <c r="D392" s="352"/>
      <c r="E392" s="352"/>
      <c r="F392" s="352"/>
      <c r="G392" s="352"/>
      <c r="H392" s="352"/>
      <c r="I392" s="318"/>
      <c r="J392" s="318"/>
      <c r="K392" s="318"/>
      <c r="L392" s="318"/>
      <c r="M392" s="17"/>
      <c r="N392" s="32"/>
      <c r="O392" s="32"/>
      <c r="P392" s="32"/>
      <c r="Q392" s="32"/>
      <c r="R392" s="32"/>
      <c r="S392" s="32"/>
      <c r="T392" s="32"/>
      <c r="U392" s="32"/>
    </row>
    <row r="393" spans="2:21" ht="15">
      <c r="B393"/>
      <c r="C393"/>
      <c r="D393" s="1216"/>
      <c r="E393" s="1216"/>
      <c r="F393" s="1216"/>
      <c r="G393" s="1216"/>
      <c r="H393" s="1216"/>
      <c r="I393" s="1216"/>
      <c r="J393" s="1216"/>
      <c r="M393" s="17"/>
      <c r="N393" s="32"/>
      <c r="O393" s="32"/>
      <c r="P393" s="32"/>
      <c r="Q393" s="32"/>
      <c r="R393" s="32"/>
      <c r="S393" s="32"/>
      <c r="T393" s="32"/>
      <c r="U393" s="32"/>
    </row>
    <row r="394" spans="2:21" ht="15">
      <c r="B394"/>
      <c r="C394"/>
      <c r="D394" s="1216"/>
      <c r="E394" s="1216"/>
      <c r="F394" s="1216"/>
      <c r="G394" s="1216"/>
      <c r="H394" s="1216"/>
      <c r="I394" s="1216"/>
      <c r="J394" s="1216"/>
      <c r="M394" s="17"/>
      <c r="N394" s="32"/>
      <c r="O394" s="32"/>
      <c r="P394" s="32"/>
      <c r="Q394" s="32"/>
      <c r="R394" s="32"/>
      <c r="S394" s="32"/>
      <c r="T394" s="32"/>
      <c r="U394" s="32"/>
    </row>
    <row r="395" spans="2:21" ht="15">
      <c r="B395"/>
      <c r="C395"/>
      <c r="D395"/>
      <c r="E395"/>
      <c r="F395"/>
      <c r="G395"/>
      <c r="H395"/>
      <c r="M395" s="17"/>
      <c r="N395" s="32"/>
      <c r="O395" s="32"/>
      <c r="P395" s="32"/>
      <c r="Q395" s="32"/>
      <c r="R395" s="32"/>
      <c r="S395" s="32"/>
      <c r="T395" s="32"/>
      <c r="U395" s="32"/>
    </row>
    <row r="396" spans="2:21" ht="15">
      <c r="B396"/>
      <c r="C396"/>
      <c r="D396"/>
      <c r="E396"/>
      <c r="F396"/>
      <c r="G396"/>
      <c r="H396"/>
      <c r="M396" s="17"/>
      <c r="N396" s="32"/>
      <c r="O396" s="32"/>
      <c r="P396" s="32"/>
      <c r="Q396" s="32"/>
      <c r="R396" s="32"/>
      <c r="S396" s="32"/>
      <c r="T396" s="32"/>
      <c r="U396" s="32"/>
    </row>
    <row r="397" spans="2:21" ht="15">
      <c r="B397"/>
      <c r="C397"/>
      <c r="D397"/>
      <c r="E397"/>
      <c r="F397"/>
      <c r="G397"/>
      <c r="H397"/>
      <c r="M397" s="17"/>
      <c r="N397" s="32"/>
      <c r="O397" s="32"/>
      <c r="P397" s="32"/>
      <c r="Q397" s="32"/>
      <c r="R397" s="32"/>
      <c r="S397" s="32"/>
      <c r="T397" s="32"/>
      <c r="U397" s="32"/>
    </row>
    <row r="398" spans="2:21" ht="15">
      <c r="B398"/>
      <c r="C398"/>
      <c r="D398"/>
      <c r="E398"/>
      <c r="F398"/>
      <c r="G398"/>
      <c r="H398"/>
      <c r="M398" s="17"/>
      <c r="N398" s="32"/>
      <c r="O398" s="32"/>
      <c r="P398" s="32"/>
      <c r="Q398" s="32"/>
      <c r="R398" s="32"/>
      <c r="S398" s="32"/>
      <c r="T398" s="32"/>
      <c r="U398" s="32"/>
    </row>
    <row r="399" spans="2:21" ht="15">
      <c r="B399"/>
      <c r="C399"/>
      <c r="D399"/>
      <c r="E399"/>
      <c r="F399"/>
      <c r="G399"/>
      <c r="H399"/>
      <c r="M399" s="17"/>
      <c r="N399" s="32"/>
      <c r="O399" s="32"/>
      <c r="P399" s="32"/>
      <c r="Q399" s="32"/>
      <c r="R399" s="32"/>
      <c r="S399" s="32"/>
      <c r="T399" s="32"/>
      <c r="U399" s="32"/>
    </row>
    <row r="400" spans="2:21" ht="15">
      <c r="B400" s="33"/>
      <c r="C400" s="29"/>
      <c r="M400" s="17"/>
      <c r="N400" s="32"/>
      <c r="O400" s="32"/>
      <c r="P400" s="32"/>
      <c r="Q400" s="32"/>
      <c r="R400" s="32"/>
      <c r="S400" s="32"/>
      <c r="T400" s="32"/>
      <c r="U400" s="32"/>
    </row>
    <row r="401" spans="2:21" ht="15">
      <c r="B401" s="13"/>
      <c r="M401" s="17"/>
      <c r="N401" s="32"/>
      <c r="O401" s="32"/>
      <c r="P401" s="32"/>
      <c r="Q401" s="32"/>
      <c r="R401" s="32"/>
      <c r="S401" s="32"/>
      <c r="T401" s="32"/>
      <c r="U401" s="32"/>
    </row>
    <row r="402" spans="2:21" ht="15">
      <c r="B402" s="13"/>
      <c r="M402" s="17"/>
      <c r="N402" s="32"/>
      <c r="O402" s="32"/>
      <c r="P402" s="32"/>
      <c r="Q402" s="32"/>
      <c r="R402" s="32"/>
      <c r="S402" s="32"/>
      <c r="T402" s="32"/>
      <c r="U402" s="32"/>
    </row>
    <row r="403" spans="2:21" ht="15">
      <c r="B403" s="13"/>
      <c r="M403" s="17"/>
      <c r="N403" s="32"/>
      <c r="O403" s="32"/>
      <c r="P403" s="32"/>
      <c r="Q403" s="32"/>
      <c r="R403" s="32"/>
      <c r="S403" s="32"/>
      <c r="T403" s="32"/>
      <c r="U403" s="32"/>
    </row>
    <row r="404" spans="2:21" ht="15">
      <c r="B404" s="13"/>
      <c r="H404" s="32"/>
      <c r="I404" s="32"/>
      <c r="J404" s="32"/>
      <c r="K404" s="32"/>
      <c r="L404" s="32"/>
      <c r="M404" s="32"/>
      <c r="N404" s="32"/>
      <c r="O404" s="32"/>
      <c r="P404" s="32"/>
      <c r="Q404" s="32"/>
      <c r="R404" s="32"/>
      <c r="S404" s="32"/>
      <c r="T404" s="32"/>
      <c r="U404" s="32"/>
    </row>
    <row r="405" spans="2:21" ht="15">
      <c r="B405" s="13"/>
      <c r="H405" s="32"/>
      <c r="K405" s="32"/>
      <c r="L405" s="32"/>
      <c r="M405" s="32"/>
      <c r="N405" s="32"/>
      <c r="O405" s="32"/>
      <c r="P405" s="32"/>
      <c r="Q405" s="32"/>
      <c r="R405" s="32"/>
      <c r="S405" s="32"/>
      <c r="T405" s="32"/>
      <c r="U405" s="32"/>
    </row>
    <row r="406" spans="2:13" ht="15">
      <c r="B406" s="8"/>
      <c r="C406" s="27"/>
      <c r="D406" s="27"/>
      <c r="E406" s="27"/>
      <c r="F406" s="27"/>
      <c r="G406" s="27"/>
      <c r="H406" s="27"/>
      <c r="I406" s="27"/>
      <c r="J406" s="27"/>
      <c r="K406" s="27"/>
      <c r="L406" s="27"/>
      <c r="M406" s="27"/>
    </row>
    <row r="407" spans="2:13" ht="15">
      <c r="B407" s="8"/>
      <c r="C407" s="27"/>
      <c r="D407" s="27"/>
      <c r="E407" s="27"/>
      <c r="F407" s="27"/>
      <c r="G407" s="27"/>
      <c r="H407" s="27"/>
      <c r="I407" s="27"/>
      <c r="J407" s="27"/>
      <c r="K407" s="27"/>
      <c r="L407" s="27"/>
      <c r="M407" s="27"/>
    </row>
    <row r="408" spans="2:13" ht="15">
      <c r="B408" s="8"/>
      <c r="C408" s="27"/>
      <c r="D408" s="27"/>
      <c r="E408" s="27"/>
      <c r="F408" s="27"/>
      <c r="G408" s="27"/>
      <c r="H408" s="27"/>
      <c r="I408" s="27"/>
      <c r="J408" s="27"/>
      <c r="K408" s="27"/>
      <c r="L408" s="27"/>
      <c r="M408" s="27"/>
    </row>
    <row r="409" spans="2:13" ht="15">
      <c r="B409" s="8"/>
      <c r="C409" s="27"/>
      <c r="D409" s="27"/>
      <c r="E409" s="27"/>
      <c r="F409" s="27"/>
      <c r="G409" s="27"/>
      <c r="H409" s="27"/>
      <c r="I409" s="27"/>
      <c r="J409" s="27"/>
      <c r="K409" s="27"/>
      <c r="L409" s="27"/>
      <c r="M409" s="27"/>
    </row>
    <row r="410" spans="2:13" ht="15">
      <c r="B410" s="8"/>
      <c r="C410" s="27"/>
      <c r="D410" s="27"/>
      <c r="E410" s="27"/>
      <c r="F410" s="27"/>
      <c r="G410" s="27"/>
      <c r="H410" s="27"/>
      <c r="I410" s="27"/>
      <c r="J410" s="27"/>
      <c r="K410" s="27"/>
      <c r="L410" s="27"/>
      <c r="M410" s="27"/>
    </row>
    <row r="411" spans="2:13" ht="15">
      <c r="B411" s="8"/>
      <c r="C411" s="27"/>
      <c r="D411" s="27"/>
      <c r="E411" s="27"/>
      <c r="F411" s="27"/>
      <c r="G411" s="27"/>
      <c r="H411" s="27"/>
      <c r="I411" s="27"/>
      <c r="J411" s="27"/>
      <c r="K411" s="27"/>
      <c r="L411" s="27"/>
      <c r="M411" s="27"/>
    </row>
    <row r="412" spans="2:13" ht="15">
      <c r="B412" s="8"/>
      <c r="C412" s="27"/>
      <c r="D412" s="27"/>
      <c r="E412" s="27"/>
      <c r="F412" s="27"/>
      <c r="G412" s="27"/>
      <c r="H412" s="27"/>
      <c r="I412" s="27"/>
      <c r="J412" s="27"/>
      <c r="K412" s="27"/>
      <c r="L412" s="27"/>
      <c r="M412" s="27"/>
    </row>
    <row r="413" spans="2:13" ht="15">
      <c r="B413" s="8"/>
      <c r="C413" s="27"/>
      <c r="D413" s="27"/>
      <c r="E413" s="27"/>
      <c r="F413" s="27"/>
      <c r="G413" s="27"/>
      <c r="H413" s="27"/>
      <c r="I413" s="27"/>
      <c r="J413" s="27"/>
      <c r="K413" s="27"/>
      <c r="L413" s="27"/>
      <c r="M413" s="27"/>
    </row>
    <row r="414" spans="2:13" ht="15">
      <c r="B414" s="8"/>
      <c r="C414" s="27"/>
      <c r="D414" s="27"/>
      <c r="E414" s="27"/>
      <c r="F414" s="27"/>
      <c r="G414" s="27"/>
      <c r="H414" s="27"/>
      <c r="I414" s="27"/>
      <c r="J414" s="27"/>
      <c r="K414" s="27"/>
      <c r="L414" s="27"/>
      <c r="M414" s="27"/>
    </row>
    <row r="415" spans="2:13" ht="15">
      <c r="B415" s="8"/>
      <c r="C415" s="27"/>
      <c r="D415" s="27"/>
      <c r="E415" s="27"/>
      <c r="F415" s="27"/>
      <c r="G415" s="27"/>
      <c r="H415" s="27"/>
      <c r="I415" s="27"/>
      <c r="J415" s="27"/>
      <c r="K415" s="27"/>
      <c r="L415" s="27"/>
      <c r="M415" s="27"/>
    </row>
    <row r="416" spans="2:13" ht="15">
      <c r="B416" s="8"/>
      <c r="C416" s="27"/>
      <c r="D416" s="27"/>
      <c r="E416" s="27"/>
      <c r="F416" s="27"/>
      <c r="G416" s="27"/>
      <c r="H416" s="27"/>
      <c r="I416" s="27"/>
      <c r="J416" s="27"/>
      <c r="K416" s="27"/>
      <c r="L416" s="27"/>
      <c r="M416" s="27"/>
    </row>
    <row r="417" spans="2:13" ht="15">
      <c r="B417" s="8"/>
      <c r="C417" s="27"/>
      <c r="D417" s="27"/>
      <c r="E417" s="27"/>
      <c r="F417" s="27"/>
      <c r="G417" s="27"/>
      <c r="H417" s="27"/>
      <c r="I417" s="27"/>
      <c r="J417" s="27"/>
      <c r="K417" s="27"/>
      <c r="L417" s="27"/>
      <c r="M417" s="27"/>
    </row>
    <row r="418" spans="2:13" ht="15">
      <c r="B418" s="8"/>
      <c r="C418" s="27"/>
      <c r="D418" s="27"/>
      <c r="E418" s="27"/>
      <c r="F418" s="27"/>
      <c r="G418" s="27"/>
      <c r="H418" s="27"/>
      <c r="I418" s="27"/>
      <c r="J418" s="27"/>
      <c r="K418" s="27"/>
      <c r="L418" s="27"/>
      <c r="M418" s="27"/>
    </row>
    <row r="419" spans="2:13" ht="15">
      <c r="B419" s="8"/>
      <c r="C419" s="27"/>
      <c r="D419" s="27"/>
      <c r="E419" s="27"/>
      <c r="F419" s="27"/>
      <c r="G419" s="27"/>
      <c r="H419" s="27"/>
      <c r="I419" s="27"/>
      <c r="J419" s="27"/>
      <c r="K419" s="27"/>
      <c r="L419" s="27"/>
      <c r="M419" s="27"/>
    </row>
    <row r="420" spans="2:13" ht="15">
      <c r="B420" s="8"/>
      <c r="C420" s="27"/>
      <c r="D420" s="27"/>
      <c r="E420" s="27"/>
      <c r="F420" s="27"/>
      <c r="G420" s="27"/>
      <c r="H420" s="27"/>
      <c r="I420" s="27"/>
      <c r="J420" s="27"/>
      <c r="K420" s="27"/>
      <c r="L420" s="27"/>
      <c r="M420" s="27"/>
    </row>
    <row r="421" spans="2:13" ht="15">
      <c r="B421" s="8"/>
      <c r="C421" s="27"/>
      <c r="D421" s="27"/>
      <c r="E421" s="27"/>
      <c r="F421" s="27"/>
      <c r="G421" s="27"/>
      <c r="H421" s="27"/>
      <c r="I421" s="27"/>
      <c r="J421" s="27"/>
      <c r="K421" s="27"/>
      <c r="L421" s="27"/>
      <c r="M421" s="27"/>
    </row>
    <row r="422" spans="2:13" ht="15">
      <c r="B422" s="8"/>
      <c r="C422" s="27"/>
      <c r="D422" s="27"/>
      <c r="E422" s="27"/>
      <c r="F422" s="27"/>
      <c r="G422" s="27"/>
      <c r="H422" s="27"/>
      <c r="I422" s="27"/>
      <c r="J422" s="27"/>
      <c r="K422" s="27"/>
      <c r="L422" s="27"/>
      <c r="M422" s="27"/>
    </row>
    <row r="423" spans="2:13" ht="15">
      <c r="B423" s="8"/>
      <c r="C423" s="27"/>
      <c r="D423" s="27"/>
      <c r="E423" s="27"/>
      <c r="F423" s="27"/>
      <c r="G423" s="27"/>
      <c r="H423" s="27"/>
      <c r="I423" s="27"/>
      <c r="J423" s="27"/>
      <c r="K423" s="27"/>
      <c r="L423" s="27"/>
      <c r="M423" s="27"/>
    </row>
    <row r="424" spans="2:13" ht="15">
      <c r="B424" s="8"/>
      <c r="C424" s="27"/>
      <c r="D424" s="27"/>
      <c r="E424" s="27"/>
      <c r="F424" s="27"/>
      <c r="G424" s="27"/>
      <c r="H424" s="27"/>
      <c r="I424" s="27"/>
      <c r="J424" s="27"/>
      <c r="K424" s="27"/>
      <c r="L424" s="27"/>
      <c r="M424" s="27"/>
    </row>
    <row r="425" spans="2:13" ht="15">
      <c r="B425" s="8"/>
      <c r="C425" s="27"/>
      <c r="D425" s="27"/>
      <c r="E425" s="27"/>
      <c r="F425" s="27"/>
      <c r="G425" s="27"/>
      <c r="H425" s="27"/>
      <c r="I425" s="27"/>
      <c r="J425" s="27"/>
      <c r="K425" s="27"/>
      <c r="L425" s="27"/>
      <c r="M425" s="27"/>
    </row>
    <row r="426" spans="2:13" ht="15">
      <c r="B426" s="8"/>
      <c r="C426" s="27"/>
      <c r="D426" s="27"/>
      <c r="E426" s="27"/>
      <c r="F426" s="27"/>
      <c r="G426" s="27"/>
      <c r="H426" s="27"/>
      <c r="I426" s="27"/>
      <c r="J426" s="27"/>
      <c r="K426" s="27"/>
      <c r="L426" s="27"/>
      <c r="M426" s="27"/>
    </row>
    <row r="427" spans="2:13" ht="15">
      <c r="B427" s="8"/>
      <c r="C427" s="27"/>
      <c r="D427" s="27"/>
      <c r="E427" s="27"/>
      <c r="F427" s="27"/>
      <c r="G427" s="27"/>
      <c r="H427" s="27"/>
      <c r="I427" s="27"/>
      <c r="J427" s="27"/>
      <c r="K427" s="27"/>
      <c r="L427" s="27"/>
      <c r="M427" s="27"/>
    </row>
    <row r="428" spans="2:13" ht="15">
      <c r="B428" s="8"/>
      <c r="C428" s="27"/>
      <c r="D428" s="27"/>
      <c r="E428" s="27"/>
      <c r="F428" s="27"/>
      <c r="G428" s="27"/>
      <c r="H428" s="27"/>
      <c r="I428" s="27"/>
      <c r="J428" s="27"/>
      <c r="K428" s="27"/>
      <c r="L428" s="27"/>
      <c r="M428" s="27"/>
    </row>
    <row r="429" spans="2:13" ht="15">
      <c r="B429" s="8"/>
      <c r="C429" s="27"/>
      <c r="D429" s="27"/>
      <c r="E429" s="27"/>
      <c r="F429" s="27"/>
      <c r="G429" s="27"/>
      <c r="H429" s="27"/>
      <c r="I429" s="27"/>
      <c r="J429" s="27"/>
      <c r="K429" s="27"/>
      <c r="L429" s="27"/>
      <c r="M429" s="27"/>
    </row>
    <row r="430" spans="2:13" ht="15">
      <c r="B430" s="8"/>
      <c r="C430" s="27"/>
      <c r="D430" s="27"/>
      <c r="E430" s="27"/>
      <c r="F430" s="27"/>
      <c r="G430" s="27"/>
      <c r="H430" s="27"/>
      <c r="I430" s="27"/>
      <c r="J430" s="27"/>
      <c r="K430" s="27"/>
      <c r="L430" s="27"/>
      <c r="M430" s="27"/>
    </row>
    <row r="431" spans="2:13" ht="15">
      <c r="B431" s="8"/>
      <c r="C431" s="27"/>
      <c r="D431" s="27"/>
      <c r="E431" s="27"/>
      <c r="F431" s="27"/>
      <c r="G431" s="27"/>
      <c r="H431" s="27"/>
      <c r="I431" s="27"/>
      <c r="J431" s="27"/>
      <c r="K431" s="27"/>
      <c r="L431" s="27"/>
      <c r="M431" s="27"/>
    </row>
    <row r="432" spans="2:13" ht="15">
      <c r="B432" s="8"/>
      <c r="C432" s="27"/>
      <c r="D432" s="27"/>
      <c r="E432" s="27"/>
      <c r="F432" s="27"/>
      <c r="G432" s="27"/>
      <c r="H432" s="27"/>
      <c r="I432" s="27"/>
      <c r="J432" s="27"/>
      <c r="K432" s="27"/>
      <c r="L432" s="27"/>
      <c r="M432" s="27"/>
    </row>
    <row r="433" spans="2:13" ht="15">
      <c r="B433" s="8"/>
      <c r="C433" s="27"/>
      <c r="D433" s="27"/>
      <c r="E433" s="27"/>
      <c r="F433" s="27"/>
      <c r="G433" s="27"/>
      <c r="H433" s="27"/>
      <c r="I433" s="27"/>
      <c r="J433" s="27"/>
      <c r="K433" s="27"/>
      <c r="L433" s="27"/>
      <c r="M433" s="27"/>
    </row>
    <row r="434" spans="2:13" ht="15">
      <c r="B434" s="8"/>
      <c r="C434" s="27"/>
      <c r="D434" s="27"/>
      <c r="E434" s="27"/>
      <c r="F434" s="27"/>
      <c r="G434" s="27"/>
      <c r="H434" s="27"/>
      <c r="I434" s="27"/>
      <c r="J434" s="27"/>
      <c r="K434" s="27"/>
      <c r="L434" s="27"/>
      <c r="M434" s="27"/>
    </row>
    <row r="435" spans="2:13" ht="15">
      <c r="B435" s="8"/>
      <c r="C435" s="27"/>
      <c r="D435" s="27"/>
      <c r="E435" s="27"/>
      <c r="F435" s="27"/>
      <c r="G435" s="27"/>
      <c r="H435" s="27"/>
      <c r="I435" s="27"/>
      <c r="J435" s="27"/>
      <c r="K435" s="27"/>
      <c r="L435" s="27"/>
      <c r="M435" s="27"/>
    </row>
    <row r="436" spans="2:13" ht="15">
      <c r="B436" s="8"/>
      <c r="C436" s="27"/>
      <c r="D436" s="27"/>
      <c r="E436" s="27"/>
      <c r="F436" s="27"/>
      <c r="G436" s="27"/>
      <c r="H436" s="27"/>
      <c r="I436" s="27"/>
      <c r="J436" s="27"/>
      <c r="K436" s="27"/>
      <c r="L436" s="27"/>
      <c r="M436" s="27"/>
    </row>
    <row r="437" spans="2:13" ht="15">
      <c r="B437" s="8"/>
      <c r="C437" s="27"/>
      <c r="D437" s="27"/>
      <c r="E437" s="27"/>
      <c r="F437" s="27"/>
      <c r="G437" s="27"/>
      <c r="H437" s="27"/>
      <c r="I437" s="27"/>
      <c r="J437" s="27"/>
      <c r="K437" s="27"/>
      <c r="L437" s="27"/>
      <c r="M437" s="27"/>
    </row>
    <row r="438" spans="2:13" ht="15">
      <c r="B438" s="8"/>
      <c r="C438" s="27"/>
      <c r="D438" s="27"/>
      <c r="E438" s="27"/>
      <c r="F438" s="27"/>
      <c r="G438" s="27"/>
      <c r="H438" s="27"/>
      <c r="I438" s="27"/>
      <c r="J438" s="27"/>
      <c r="K438" s="27"/>
      <c r="L438" s="27"/>
      <c r="M438" s="27"/>
    </row>
    <row r="439" spans="2:13" ht="15">
      <c r="B439" s="8"/>
      <c r="C439" s="27"/>
      <c r="D439" s="27"/>
      <c r="E439" s="27"/>
      <c r="F439" s="27"/>
      <c r="G439" s="27"/>
      <c r="H439" s="27"/>
      <c r="I439" s="27"/>
      <c r="J439" s="27"/>
      <c r="K439" s="27"/>
      <c r="L439" s="27"/>
      <c r="M439" s="27"/>
    </row>
    <row r="440" spans="2:13" ht="15">
      <c r="B440" s="8"/>
      <c r="C440" s="27"/>
      <c r="D440" s="27"/>
      <c r="E440" s="27"/>
      <c r="F440" s="27"/>
      <c r="G440" s="27"/>
      <c r="H440" s="27"/>
      <c r="I440" s="27"/>
      <c r="J440" s="27"/>
      <c r="K440" s="27"/>
      <c r="L440" s="27"/>
      <c r="M440" s="27"/>
    </row>
    <row r="441" spans="2:13" ht="15">
      <c r="B441" s="8"/>
      <c r="C441" s="27"/>
      <c r="D441" s="27"/>
      <c r="E441" s="27"/>
      <c r="F441" s="27"/>
      <c r="G441" s="27"/>
      <c r="H441" s="27"/>
      <c r="I441" s="27"/>
      <c r="J441" s="27"/>
      <c r="K441" s="27"/>
      <c r="L441" s="27"/>
      <c r="M441" s="27"/>
    </row>
    <row r="442" spans="2:13" ht="15">
      <c r="B442" s="8"/>
      <c r="C442" s="27"/>
      <c r="D442" s="27"/>
      <c r="E442" s="27"/>
      <c r="F442" s="27"/>
      <c r="G442" s="27"/>
      <c r="H442" s="27"/>
      <c r="I442" s="27"/>
      <c r="J442" s="27"/>
      <c r="K442" s="27"/>
      <c r="L442" s="27"/>
      <c r="M442" s="27"/>
    </row>
    <row r="443" spans="2:13" ht="15">
      <c r="B443" s="8"/>
      <c r="C443" s="27"/>
      <c r="D443" s="27"/>
      <c r="E443" s="27"/>
      <c r="F443" s="27"/>
      <c r="G443" s="27"/>
      <c r="H443" s="27"/>
      <c r="I443" s="27"/>
      <c r="J443" s="27"/>
      <c r="K443" s="27"/>
      <c r="L443" s="27"/>
      <c r="M443" s="27"/>
    </row>
    <row r="444" spans="2:13" ht="15">
      <c r="B444" s="8"/>
      <c r="C444" s="27"/>
      <c r="D444" s="27"/>
      <c r="E444" s="27"/>
      <c r="F444" s="27"/>
      <c r="G444" s="27"/>
      <c r="H444" s="27"/>
      <c r="I444" s="27"/>
      <c r="J444" s="27"/>
      <c r="K444" s="27"/>
      <c r="L444" s="27"/>
      <c r="M444" s="27"/>
    </row>
    <row r="445" spans="2:13" ht="15">
      <c r="B445" s="8"/>
      <c r="C445" s="27"/>
      <c r="D445" s="27"/>
      <c r="E445" s="27"/>
      <c r="F445" s="27"/>
      <c r="G445" s="27"/>
      <c r="H445" s="27"/>
      <c r="I445" s="27"/>
      <c r="J445" s="27"/>
      <c r="K445" s="27"/>
      <c r="L445" s="27"/>
      <c r="M445" s="27"/>
    </row>
    <row r="446" spans="2:13" ht="15">
      <c r="B446" s="8"/>
      <c r="C446" s="27"/>
      <c r="D446" s="27"/>
      <c r="E446" s="27"/>
      <c r="F446" s="27"/>
      <c r="G446" s="27"/>
      <c r="H446" s="27"/>
      <c r="I446" s="27"/>
      <c r="J446" s="27"/>
      <c r="K446" s="27"/>
      <c r="L446" s="27"/>
      <c r="M446" s="27"/>
    </row>
    <row r="447" spans="2:13" ht="15">
      <c r="B447" s="8"/>
      <c r="C447" s="27"/>
      <c r="D447" s="27"/>
      <c r="E447" s="27"/>
      <c r="F447" s="27"/>
      <c r="G447" s="27"/>
      <c r="H447" s="27"/>
      <c r="I447" s="27"/>
      <c r="J447" s="27"/>
      <c r="K447" s="27"/>
      <c r="L447" s="27"/>
      <c r="M447" s="27"/>
    </row>
    <row r="448" spans="2:13" ht="15">
      <c r="B448" s="8"/>
      <c r="C448" s="27"/>
      <c r="D448" s="27"/>
      <c r="E448" s="27"/>
      <c r="F448" s="27"/>
      <c r="G448" s="27"/>
      <c r="H448" s="27"/>
      <c r="I448" s="27"/>
      <c r="J448" s="27"/>
      <c r="K448" s="27"/>
      <c r="L448" s="27"/>
      <c r="M448" s="27"/>
    </row>
    <row r="449" spans="2:13" ht="15">
      <c r="B449" s="8"/>
      <c r="C449" s="27"/>
      <c r="D449" s="27"/>
      <c r="E449" s="27"/>
      <c r="F449" s="27"/>
      <c r="G449" s="27"/>
      <c r="H449" s="27"/>
      <c r="I449" s="27"/>
      <c r="J449" s="27"/>
      <c r="K449" s="27"/>
      <c r="L449" s="27"/>
      <c r="M449" s="27"/>
    </row>
    <row r="450" spans="2:13" ht="15">
      <c r="B450" s="8"/>
      <c r="C450" s="27"/>
      <c r="D450" s="27"/>
      <c r="E450" s="27"/>
      <c r="F450" s="27"/>
      <c r="G450" s="27"/>
      <c r="H450" s="27"/>
      <c r="I450" s="27"/>
      <c r="J450" s="27"/>
      <c r="K450" s="27"/>
      <c r="L450" s="27"/>
      <c r="M450" s="27"/>
    </row>
    <row r="451" spans="2:13" ht="15">
      <c r="B451" s="8"/>
      <c r="C451" s="27"/>
      <c r="D451" s="27"/>
      <c r="E451" s="27"/>
      <c r="F451" s="27"/>
      <c r="G451" s="27"/>
      <c r="H451" s="27"/>
      <c r="I451" s="27"/>
      <c r="J451" s="27"/>
      <c r="K451" s="27"/>
      <c r="L451" s="27"/>
      <c r="M451" s="27"/>
    </row>
    <row r="452" spans="2:13" ht="15">
      <c r="B452" s="8"/>
      <c r="C452" s="27"/>
      <c r="D452" s="27"/>
      <c r="E452" s="27"/>
      <c r="F452" s="27"/>
      <c r="G452" s="27"/>
      <c r="H452" s="27"/>
      <c r="I452" s="27"/>
      <c r="J452" s="27"/>
      <c r="K452" s="27"/>
      <c r="L452" s="27"/>
      <c r="M452" s="27"/>
    </row>
    <row r="453" spans="2:13" ht="15">
      <c r="B453" s="8"/>
      <c r="C453" s="27"/>
      <c r="D453" s="27"/>
      <c r="E453" s="27"/>
      <c r="F453" s="27"/>
      <c r="G453" s="27"/>
      <c r="H453" s="27"/>
      <c r="I453" s="27"/>
      <c r="J453" s="27"/>
      <c r="K453" s="27"/>
      <c r="L453" s="27"/>
      <c r="M453" s="27"/>
    </row>
    <row r="454" spans="2:13" ht="15">
      <c r="B454" s="8"/>
      <c r="C454" s="27"/>
      <c r="D454" s="27"/>
      <c r="E454" s="27"/>
      <c r="F454" s="27"/>
      <c r="G454" s="27"/>
      <c r="H454" s="27"/>
      <c r="I454" s="27"/>
      <c r="J454" s="27"/>
      <c r="K454" s="27"/>
      <c r="L454" s="27"/>
      <c r="M454" s="27"/>
    </row>
    <row r="455" spans="2:13" ht="15">
      <c r="B455" s="8"/>
      <c r="C455" s="27"/>
      <c r="D455" s="27"/>
      <c r="E455" s="27"/>
      <c r="F455" s="27"/>
      <c r="G455" s="27"/>
      <c r="H455" s="27"/>
      <c r="I455" s="27"/>
      <c r="J455" s="27"/>
      <c r="K455" s="27"/>
      <c r="L455" s="27"/>
      <c r="M455" s="27"/>
    </row>
    <row r="456" spans="2:13" ht="15">
      <c r="B456" s="8"/>
      <c r="C456" s="27"/>
      <c r="D456" s="27"/>
      <c r="E456" s="27"/>
      <c r="F456" s="27"/>
      <c r="G456" s="27"/>
      <c r="H456" s="27"/>
      <c r="I456" s="27"/>
      <c r="J456" s="27"/>
      <c r="K456" s="27"/>
      <c r="L456" s="27"/>
      <c r="M456" s="27"/>
    </row>
    <row r="457" spans="2:13" ht="15">
      <c r="B457" s="8"/>
      <c r="C457" s="27"/>
      <c r="D457" s="27"/>
      <c r="E457" s="27"/>
      <c r="F457" s="27"/>
      <c r="G457" s="27"/>
      <c r="H457" s="27"/>
      <c r="I457" s="27"/>
      <c r="J457" s="27"/>
      <c r="K457" s="27"/>
      <c r="L457" s="27"/>
      <c r="M457" s="27"/>
    </row>
    <row r="458" spans="2:13" ht="15">
      <c r="B458" s="8"/>
      <c r="C458" s="27"/>
      <c r="D458" s="27"/>
      <c r="E458" s="27"/>
      <c r="F458" s="27"/>
      <c r="G458" s="27"/>
      <c r="H458" s="27"/>
      <c r="I458" s="27"/>
      <c r="J458" s="27"/>
      <c r="K458" s="27"/>
      <c r="L458" s="27"/>
      <c r="M458" s="27"/>
    </row>
    <row r="459" spans="2:13" ht="15">
      <c r="B459" s="8"/>
      <c r="C459" s="27"/>
      <c r="D459" s="27"/>
      <c r="E459" s="27"/>
      <c r="F459" s="27"/>
      <c r="G459" s="27"/>
      <c r="H459" s="27"/>
      <c r="I459" s="27"/>
      <c r="J459" s="27"/>
      <c r="K459" s="27"/>
      <c r="L459" s="27"/>
      <c r="M459" s="27"/>
    </row>
    <row r="460" spans="2:13" ht="15">
      <c r="B460" s="8"/>
      <c r="C460" s="27"/>
      <c r="D460" s="27"/>
      <c r="E460" s="27"/>
      <c r="F460" s="27"/>
      <c r="G460" s="27"/>
      <c r="H460" s="27"/>
      <c r="I460" s="27"/>
      <c r="J460" s="27"/>
      <c r="K460" s="27"/>
      <c r="L460" s="27"/>
      <c r="M460" s="27"/>
    </row>
    <row r="461" spans="2:13" ht="15">
      <c r="B461" s="8"/>
      <c r="C461" s="27"/>
      <c r="D461" s="27"/>
      <c r="E461" s="27"/>
      <c r="F461" s="27"/>
      <c r="G461" s="27"/>
      <c r="H461" s="27"/>
      <c r="I461" s="27"/>
      <c r="J461" s="27"/>
      <c r="K461" s="27"/>
      <c r="L461" s="27"/>
      <c r="M461" s="27"/>
    </row>
    <row r="462" spans="2:13" ht="15">
      <c r="B462" s="8"/>
      <c r="C462" s="27"/>
      <c r="D462" s="27"/>
      <c r="E462" s="27"/>
      <c r="F462" s="27"/>
      <c r="G462" s="27"/>
      <c r="H462" s="27"/>
      <c r="I462" s="27"/>
      <c r="J462" s="27"/>
      <c r="K462" s="27"/>
      <c r="L462" s="27"/>
      <c r="M462" s="27"/>
    </row>
    <row r="463" spans="2:13" ht="15">
      <c r="B463" s="8"/>
      <c r="C463" s="27"/>
      <c r="D463" s="27"/>
      <c r="E463" s="27"/>
      <c r="F463" s="27"/>
      <c r="G463" s="27"/>
      <c r="H463" s="27"/>
      <c r="I463" s="27"/>
      <c r="J463" s="27"/>
      <c r="K463" s="27"/>
      <c r="L463" s="27"/>
      <c r="M463" s="27"/>
    </row>
    <row r="464" spans="2:13" ht="15">
      <c r="B464" s="8"/>
      <c r="C464" s="27"/>
      <c r="D464" s="27"/>
      <c r="E464" s="27"/>
      <c r="F464" s="27"/>
      <c r="G464" s="27"/>
      <c r="H464" s="27"/>
      <c r="I464" s="27"/>
      <c r="J464" s="27"/>
      <c r="K464" s="27"/>
      <c r="L464" s="27"/>
      <c r="M464" s="27"/>
    </row>
    <row r="465" spans="2:13" ht="15">
      <c r="B465" s="8"/>
      <c r="C465" s="27"/>
      <c r="D465" s="27"/>
      <c r="E465" s="27"/>
      <c r="F465" s="27"/>
      <c r="G465" s="27"/>
      <c r="H465" s="27"/>
      <c r="I465" s="27"/>
      <c r="J465" s="27"/>
      <c r="K465" s="27"/>
      <c r="L465" s="27"/>
      <c r="M465" s="27"/>
    </row>
    <row r="466" spans="2:13" ht="15">
      <c r="B466" s="8"/>
      <c r="C466" s="27"/>
      <c r="D466" s="27"/>
      <c r="E466" s="27"/>
      <c r="F466" s="27"/>
      <c r="G466" s="27"/>
      <c r="H466" s="27"/>
      <c r="I466" s="27"/>
      <c r="J466" s="27"/>
      <c r="K466" s="27"/>
      <c r="L466" s="27"/>
      <c r="M466" s="27"/>
    </row>
    <row r="467" spans="2:13" ht="15">
      <c r="B467" s="8"/>
      <c r="C467" s="27"/>
      <c r="D467" s="27"/>
      <c r="E467" s="27"/>
      <c r="F467" s="27"/>
      <c r="G467" s="27"/>
      <c r="H467" s="27"/>
      <c r="I467" s="27"/>
      <c r="J467" s="27"/>
      <c r="K467" s="27"/>
      <c r="L467" s="27"/>
      <c r="M467" s="27"/>
    </row>
    <row r="468" spans="2:13" ht="15">
      <c r="B468" s="8"/>
      <c r="C468" s="27"/>
      <c r="D468" s="27"/>
      <c r="E468" s="27"/>
      <c r="F468" s="27"/>
      <c r="G468" s="27"/>
      <c r="H468" s="27"/>
      <c r="I468" s="27"/>
      <c r="J468" s="27"/>
      <c r="K468" s="27"/>
      <c r="L468" s="27"/>
      <c r="M468" s="27"/>
    </row>
    <row r="469" spans="2:13" ht="15">
      <c r="B469" s="8"/>
      <c r="C469" s="27"/>
      <c r="D469" s="27"/>
      <c r="E469" s="27"/>
      <c r="F469" s="27"/>
      <c r="G469" s="27"/>
      <c r="H469" s="27"/>
      <c r="I469" s="27"/>
      <c r="J469" s="27"/>
      <c r="K469" s="27"/>
      <c r="L469" s="27"/>
      <c r="M469" s="27"/>
    </row>
    <row r="470" spans="2:13" ht="15">
      <c r="B470" s="8"/>
      <c r="C470" s="27"/>
      <c r="D470" s="27"/>
      <c r="E470" s="27"/>
      <c r="F470" s="27"/>
      <c r="G470" s="27"/>
      <c r="H470" s="27"/>
      <c r="I470" s="27"/>
      <c r="J470" s="27"/>
      <c r="K470" s="27"/>
      <c r="L470" s="27"/>
      <c r="M470" s="27"/>
    </row>
    <row r="471" spans="2:13" ht="15">
      <c r="B471" s="8"/>
      <c r="C471" s="27"/>
      <c r="D471" s="27"/>
      <c r="E471" s="27"/>
      <c r="F471" s="27"/>
      <c r="G471" s="27"/>
      <c r="H471" s="27"/>
      <c r="I471" s="27"/>
      <c r="J471" s="27"/>
      <c r="K471" s="27"/>
      <c r="L471" s="27"/>
      <c r="M471" s="27"/>
    </row>
    <row r="472" spans="2:13" ht="15">
      <c r="B472" s="8"/>
      <c r="C472" s="27"/>
      <c r="D472" s="27"/>
      <c r="E472" s="27"/>
      <c r="F472" s="27"/>
      <c r="G472" s="27"/>
      <c r="H472" s="27"/>
      <c r="I472" s="27"/>
      <c r="J472" s="27"/>
      <c r="K472" s="27"/>
      <c r="L472" s="27"/>
      <c r="M472" s="27"/>
    </row>
    <row r="473" spans="2:13" ht="15">
      <c r="B473" s="8"/>
      <c r="C473" s="27"/>
      <c r="D473" s="27"/>
      <c r="E473" s="27"/>
      <c r="F473" s="27"/>
      <c r="G473" s="27"/>
      <c r="H473" s="27"/>
      <c r="I473" s="27"/>
      <c r="J473" s="27"/>
      <c r="K473" s="27"/>
      <c r="L473" s="27"/>
      <c r="M473" s="27"/>
    </row>
    <row r="474" spans="2:13" ht="15">
      <c r="B474" s="8"/>
      <c r="C474" s="27"/>
      <c r="D474" s="27"/>
      <c r="E474" s="27"/>
      <c r="F474" s="27"/>
      <c r="G474" s="27"/>
      <c r="H474" s="27"/>
      <c r="I474" s="27"/>
      <c r="J474" s="27"/>
      <c r="K474" s="27"/>
      <c r="L474" s="27"/>
      <c r="M474" s="27"/>
    </row>
    <row r="475" spans="2:13" ht="15">
      <c r="B475" s="8"/>
      <c r="C475" s="27"/>
      <c r="D475" s="27"/>
      <c r="E475" s="27"/>
      <c r="F475" s="27"/>
      <c r="G475" s="27"/>
      <c r="H475" s="27"/>
      <c r="I475" s="27"/>
      <c r="J475" s="27"/>
      <c r="K475" s="27"/>
      <c r="L475" s="27"/>
      <c r="M475" s="27"/>
    </row>
    <row r="476" spans="2:13" ht="15">
      <c r="B476" s="8"/>
      <c r="C476" s="27"/>
      <c r="D476" s="27"/>
      <c r="E476" s="27"/>
      <c r="F476" s="27"/>
      <c r="G476" s="27"/>
      <c r="H476" s="27"/>
      <c r="I476" s="27"/>
      <c r="J476" s="27"/>
      <c r="K476" s="27"/>
      <c r="L476" s="27"/>
      <c r="M476" s="27"/>
    </row>
    <row r="477" spans="2:13" ht="15">
      <c r="B477" s="8"/>
      <c r="C477" s="27"/>
      <c r="D477" s="27"/>
      <c r="E477" s="27"/>
      <c r="F477" s="27"/>
      <c r="G477" s="27"/>
      <c r="H477" s="27"/>
      <c r="I477" s="27"/>
      <c r="J477" s="27"/>
      <c r="K477" s="27"/>
      <c r="L477" s="27"/>
      <c r="M477" s="27"/>
    </row>
    <row r="478" spans="2:13" ht="15">
      <c r="B478" s="8"/>
      <c r="C478" s="27"/>
      <c r="D478" s="27"/>
      <c r="E478" s="27"/>
      <c r="F478" s="27"/>
      <c r="G478" s="27"/>
      <c r="H478" s="27"/>
      <c r="I478" s="27"/>
      <c r="J478" s="27"/>
      <c r="K478" s="27"/>
      <c r="L478" s="27"/>
      <c r="M478" s="27"/>
    </row>
    <row r="479" spans="2:13" ht="15">
      <c r="B479" s="8"/>
      <c r="C479" s="27"/>
      <c r="D479" s="27"/>
      <c r="E479" s="27"/>
      <c r="F479" s="27"/>
      <c r="G479" s="27"/>
      <c r="H479" s="27"/>
      <c r="I479" s="27"/>
      <c r="J479" s="27"/>
      <c r="K479" s="27"/>
      <c r="L479" s="27"/>
      <c r="M479" s="27"/>
    </row>
    <row r="480" spans="2:13" ht="15">
      <c r="B480" s="8"/>
      <c r="C480" s="27"/>
      <c r="D480" s="27"/>
      <c r="E480" s="27"/>
      <c r="F480" s="27"/>
      <c r="G480" s="27"/>
      <c r="H480" s="27"/>
      <c r="I480" s="27"/>
      <c r="J480" s="27"/>
      <c r="K480" s="27"/>
      <c r="L480" s="27"/>
      <c r="M480" s="27"/>
    </row>
    <row r="481" spans="2:13" ht="15">
      <c r="B481" s="8"/>
      <c r="C481" s="27"/>
      <c r="D481" s="27"/>
      <c r="E481" s="27"/>
      <c r="F481" s="27"/>
      <c r="G481" s="27"/>
      <c r="H481" s="27"/>
      <c r="I481" s="27"/>
      <c r="J481" s="27"/>
      <c r="K481" s="27"/>
      <c r="L481" s="27"/>
      <c r="M481" s="27"/>
    </row>
    <row r="482" spans="2:13" ht="15">
      <c r="B482" s="8"/>
      <c r="C482" s="27"/>
      <c r="D482" s="27"/>
      <c r="E482" s="27"/>
      <c r="F482" s="27"/>
      <c r="G482" s="27"/>
      <c r="H482" s="27"/>
      <c r="I482" s="27"/>
      <c r="J482" s="27"/>
      <c r="K482" s="27"/>
      <c r="L482" s="27"/>
      <c r="M482" s="27"/>
    </row>
    <row r="483" spans="2:13" ht="15">
      <c r="B483" s="8"/>
      <c r="C483" s="27"/>
      <c r="D483" s="27"/>
      <c r="E483" s="27"/>
      <c r="F483" s="27"/>
      <c r="G483" s="27"/>
      <c r="H483" s="27"/>
      <c r="I483" s="27"/>
      <c r="J483" s="27"/>
      <c r="K483" s="27"/>
      <c r="L483" s="27"/>
      <c r="M483" s="27"/>
    </row>
    <row r="484" spans="2:13" ht="15">
      <c r="B484" s="8"/>
      <c r="C484" s="27"/>
      <c r="D484" s="27"/>
      <c r="E484" s="27"/>
      <c r="F484" s="27"/>
      <c r="G484" s="27"/>
      <c r="H484" s="27"/>
      <c r="I484" s="27"/>
      <c r="J484" s="27"/>
      <c r="K484" s="27"/>
      <c r="L484" s="27"/>
      <c r="M484" s="27"/>
    </row>
    <row r="485" spans="2:13" ht="15">
      <c r="B485" s="8"/>
      <c r="C485" s="27"/>
      <c r="D485" s="27"/>
      <c r="E485" s="27"/>
      <c r="F485" s="27"/>
      <c r="G485" s="27"/>
      <c r="H485" s="27"/>
      <c r="I485" s="27"/>
      <c r="J485" s="27"/>
      <c r="K485" s="27"/>
      <c r="L485" s="27"/>
      <c r="M485" s="27"/>
    </row>
    <row r="486" spans="2:13" ht="15">
      <c r="B486" s="8"/>
      <c r="C486" s="27"/>
      <c r="D486" s="27"/>
      <c r="E486" s="27"/>
      <c r="F486" s="27"/>
      <c r="G486" s="27"/>
      <c r="H486" s="27"/>
      <c r="I486" s="27"/>
      <c r="J486" s="27"/>
      <c r="K486" s="27"/>
      <c r="L486" s="27"/>
      <c r="M486" s="27"/>
    </row>
    <row r="487" spans="2:13" ht="15">
      <c r="B487" s="8"/>
      <c r="C487" s="27"/>
      <c r="D487" s="27"/>
      <c r="E487" s="27"/>
      <c r="F487" s="27"/>
      <c r="G487" s="27"/>
      <c r="H487" s="27"/>
      <c r="I487" s="27"/>
      <c r="J487" s="27"/>
      <c r="K487" s="27"/>
      <c r="L487" s="27"/>
      <c r="M487" s="27"/>
    </row>
    <row r="488" spans="2:13" ht="15">
      <c r="B488" s="8"/>
      <c r="C488" s="27"/>
      <c r="D488" s="27"/>
      <c r="E488" s="27"/>
      <c r="F488" s="27"/>
      <c r="G488" s="27"/>
      <c r="H488" s="27"/>
      <c r="I488" s="27"/>
      <c r="J488" s="27"/>
      <c r="K488" s="27"/>
      <c r="L488" s="27"/>
      <c r="M488" s="27"/>
    </row>
    <row r="489" spans="2:13" ht="15">
      <c r="B489" s="8"/>
      <c r="C489" s="27"/>
      <c r="D489" s="27"/>
      <c r="E489" s="27"/>
      <c r="F489" s="27"/>
      <c r="G489" s="27"/>
      <c r="H489" s="27"/>
      <c r="I489" s="27"/>
      <c r="J489" s="27"/>
      <c r="K489" s="27"/>
      <c r="L489" s="27"/>
      <c r="M489" s="27"/>
    </row>
    <row r="490" spans="2:13" ht="15">
      <c r="B490" s="8"/>
      <c r="C490" s="27"/>
      <c r="D490" s="27"/>
      <c r="E490" s="27"/>
      <c r="F490" s="27"/>
      <c r="G490" s="27"/>
      <c r="H490" s="27"/>
      <c r="I490" s="27"/>
      <c r="J490" s="27"/>
      <c r="K490" s="27"/>
      <c r="L490" s="27"/>
      <c r="M490" s="27"/>
    </row>
    <row r="491" spans="2:13" ht="15">
      <c r="B491" s="8"/>
      <c r="C491" s="27"/>
      <c r="D491" s="27"/>
      <c r="E491" s="27"/>
      <c r="F491" s="27"/>
      <c r="G491" s="27"/>
      <c r="H491" s="27"/>
      <c r="I491" s="27"/>
      <c r="J491" s="27"/>
      <c r="K491" s="27"/>
      <c r="L491" s="27"/>
      <c r="M491" s="27"/>
    </row>
    <row r="492" spans="2:13" ht="15">
      <c r="B492" s="8"/>
      <c r="C492" s="27"/>
      <c r="D492" s="27"/>
      <c r="E492" s="27"/>
      <c r="F492" s="27"/>
      <c r="G492" s="27"/>
      <c r="H492" s="27"/>
      <c r="I492" s="27"/>
      <c r="J492" s="27"/>
      <c r="K492" s="27"/>
      <c r="L492" s="27"/>
      <c r="M492" s="27"/>
    </row>
    <row r="493" spans="2:13" ht="15">
      <c r="B493" s="8"/>
      <c r="C493" s="27"/>
      <c r="D493" s="27"/>
      <c r="E493" s="27"/>
      <c r="F493" s="27"/>
      <c r="G493" s="27"/>
      <c r="H493" s="27"/>
      <c r="I493" s="27"/>
      <c r="J493" s="27"/>
      <c r="K493" s="27"/>
      <c r="L493" s="27"/>
      <c r="M493" s="27"/>
    </row>
    <row r="494" spans="2:13" ht="15">
      <c r="B494" s="8"/>
      <c r="C494" s="27"/>
      <c r="D494" s="27"/>
      <c r="E494" s="27"/>
      <c r="F494" s="27"/>
      <c r="G494" s="27"/>
      <c r="H494" s="27"/>
      <c r="I494" s="27"/>
      <c r="J494" s="27"/>
      <c r="K494" s="27"/>
      <c r="L494" s="27"/>
      <c r="M494" s="27"/>
    </row>
    <row r="495" spans="2:13" ht="15">
      <c r="B495" s="8"/>
      <c r="C495" s="27"/>
      <c r="D495" s="27"/>
      <c r="E495" s="27"/>
      <c r="F495" s="27"/>
      <c r="G495" s="27"/>
      <c r="H495" s="27"/>
      <c r="I495" s="27"/>
      <c r="J495" s="27"/>
      <c r="K495" s="27"/>
      <c r="L495" s="27"/>
      <c r="M495" s="27"/>
    </row>
    <row r="496" spans="2:13" ht="15">
      <c r="B496" s="8"/>
      <c r="C496" s="27"/>
      <c r="D496" s="27"/>
      <c r="E496" s="27"/>
      <c r="F496" s="27"/>
      <c r="G496" s="27"/>
      <c r="H496" s="27"/>
      <c r="I496" s="27"/>
      <c r="J496" s="27"/>
      <c r="K496" s="27"/>
      <c r="L496" s="27"/>
      <c r="M496" s="27"/>
    </row>
    <row r="497" spans="2:13" ht="15">
      <c r="B497" s="8"/>
      <c r="C497" s="27"/>
      <c r="D497" s="27"/>
      <c r="E497" s="27"/>
      <c r="F497" s="27"/>
      <c r="G497" s="27"/>
      <c r="H497" s="27"/>
      <c r="I497" s="27"/>
      <c r="J497" s="27"/>
      <c r="K497" s="27"/>
      <c r="L497" s="27"/>
      <c r="M497" s="27"/>
    </row>
    <row r="498" spans="2:13" ht="15">
      <c r="B498" s="8"/>
      <c r="C498" s="27"/>
      <c r="D498" s="27"/>
      <c r="E498" s="27"/>
      <c r="F498" s="27"/>
      <c r="G498" s="27"/>
      <c r="H498" s="27"/>
      <c r="I498" s="27"/>
      <c r="J498" s="27"/>
      <c r="K498" s="27"/>
      <c r="L498" s="27"/>
      <c r="M498" s="27"/>
    </row>
    <row r="499" spans="2:13" ht="15">
      <c r="B499" s="8"/>
      <c r="C499" s="27"/>
      <c r="D499" s="27"/>
      <c r="E499" s="27"/>
      <c r="F499" s="27"/>
      <c r="G499" s="27"/>
      <c r="H499" s="27"/>
      <c r="I499" s="27"/>
      <c r="J499" s="27"/>
      <c r="K499" s="27"/>
      <c r="L499" s="27"/>
      <c r="M499" s="27"/>
    </row>
    <row r="500" spans="2:13" ht="15">
      <c r="B500" s="8"/>
      <c r="C500" s="27"/>
      <c r="D500" s="27"/>
      <c r="E500" s="27"/>
      <c r="F500" s="27"/>
      <c r="G500" s="27"/>
      <c r="H500" s="27"/>
      <c r="I500" s="27"/>
      <c r="J500" s="27"/>
      <c r="K500" s="27"/>
      <c r="L500" s="27"/>
      <c r="M500" s="27"/>
    </row>
    <row r="501" spans="2:13" ht="15">
      <c r="B501" s="8"/>
      <c r="C501" s="27"/>
      <c r="D501" s="27"/>
      <c r="E501" s="27"/>
      <c r="F501" s="27"/>
      <c r="G501" s="27"/>
      <c r="H501" s="27"/>
      <c r="I501" s="27"/>
      <c r="J501" s="27"/>
      <c r="K501" s="27"/>
      <c r="L501" s="27"/>
      <c r="M501" s="27"/>
    </row>
    <row r="502" spans="2:13" ht="15">
      <c r="B502" s="8"/>
      <c r="C502" s="27"/>
      <c r="D502" s="27"/>
      <c r="E502" s="27"/>
      <c r="F502" s="27"/>
      <c r="G502" s="27"/>
      <c r="H502" s="27"/>
      <c r="I502" s="27"/>
      <c r="J502" s="27"/>
      <c r="K502" s="27"/>
      <c r="L502" s="27"/>
      <c r="M502" s="27"/>
    </row>
    <row r="503" spans="2:13" ht="15">
      <c r="B503" s="8"/>
      <c r="C503" s="27"/>
      <c r="D503" s="27"/>
      <c r="E503" s="27"/>
      <c r="F503" s="27"/>
      <c r="G503" s="27"/>
      <c r="H503" s="27"/>
      <c r="I503" s="27"/>
      <c r="J503" s="27"/>
      <c r="K503" s="27"/>
      <c r="L503" s="27"/>
      <c r="M503" s="27"/>
    </row>
    <row r="504" spans="2:13" ht="15">
      <c r="B504" s="8"/>
      <c r="C504" s="27"/>
      <c r="D504" s="27"/>
      <c r="E504" s="27"/>
      <c r="F504" s="27"/>
      <c r="G504" s="27"/>
      <c r="H504" s="27"/>
      <c r="I504" s="27"/>
      <c r="J504" s="27"/>
      <c r="K504" s="27"/>
      <c r="L504" s="27"/>
      <c r="M504" s="27"/>
    </row>
    <row r="505" spans="2:13" ht="15">
      <c r="B505" s="8"/>
      <c r="C505" s="27"/>
      <c r="D505" s="27"/>
      <c r="E505" s="27"/>
      <c r="F505" s="27"/>
      <c r="G505" s="27"/>
      <c r="H505" s="27"/>
      <c r="I505" s="27"/>
      <c r="J505" s="27"/>
      <c r="K505" s="27"/>
      <c r="L505" s="27"/>
      <c r="M505" s="27"/>
    </row>
    <row r="506" spans="2:13" ht="15">
      <c r="B506" s="8"/>
      <c r="C506" s="27"/>
      <c r="D506" s="27"/>
      <c r="E506" s="27"/>
      <c r="F506" s="27"/>
      <c r="G506" s="27"/>
      <c r="H506" s="27"/>
      <c r="I506" s="27"/>
      <c r="J506" s="27"/>
      <c r="K506" s="27"/>
      <c r="L506" s="27"/>
      <c r="M506" s="27"/>
    </row>
    <row r="507" spans="2:13" ht="15">
      <c r="B507" s="8"/>
      <c r="C507" s="27"/>
      <c r="D507" s="27"/>
      <c r="E507" s="27"/>
      <c r="F507" s="27"/>
      <c r="G507" s="27"/>
      <c r="H507" s="27"/>
      <c r="I507" s="27"/>
      <c r="J507" s="27"/>
      <c r="K507" s="27"/>
      <c r="L507" s="27"/>
      <c r="M507" s="27"/>
    </row>
    <row r="508" spans="2:13" ht="15">
      <c r="B508" s="8"/>
      <c r="C508" s="27"/>
      <c r="D508" s="27"/>
      <c r="E508" s="27"/>
      <c r="F508" s="27"/>
      <c r="G508" s="27"/>
      <c r="H508" s="27"/>
      <c r="I508" s="27"/>
      <c r="J508" s="27"/>
      <c r="K508" s="27"/>
      <c r="L508" s="27"/>
      <c r="M508" s="27"/>
    </row>
    <row r="509" spans="2:13" ht="15">
      <c r="B509" s="8"/>
      <c r="C509" s="27"/>
      <c r="D509" s="27"/>
      <c r="E509" s="27"/>
      <c r="F509" s="27"/>
      <c r="G509" s="27"/>
      <c r="H509" s="27"/>
      <c r="I509" s="27"/>
      <c r="J509" s="27"/>
      <c r="K509" s="27"/>
      <c r="L509" s="27"/>
      <c r="M509" s="27"/>
    </row>
    <row r="510" spans="2:13" ht="15">
      <c r="B510" s="8"/>
      <c r="C510" s="27"/>
      <c r="D510" s="27"/>
      <c r="E510" s="27"/>
      <c r="F510" s="27"/>
      <c r="G510" s="27"/>
      <c r="H510" s="27"/>
      <c r="I510" s="27"/>
      <c r="J510" s="27"/>
      <c r="K510" s="27"/>
      <c r="L510" s="27"/>
      <c r="M510" s="27"/>
    </row>
    <row r="511" spans="2:13" ht="15">
      <c r="B511" s="8"/>
      <c r="C511" s="27"/>
      <c r="D511" s="27"/>
      <c r="E511" s="27"/>
      <c r="F511" s="27"/>
      <c r="G511" s="27"/>
      <c r="H511" s="27"/>
      <c r="I511" s="27"/>
      <c r="J511" s="27"/>
      <c r="K511" s="27"/>
      <c r="L511" s="27"/>
      <c r="M511" s="27"/>
    </row>
    <row r="512" spans="2:13" ht="15">
      <c r="B512" s="8"/>
      <c r="C512" s="27"/>
      <c r="D512" s="27"/>
      <c r="E512" s="27"/>
      <c r="F512" s="27"/>
      <c r="G512" s="27"/>
      <c r="H512" s="27"/>
      <c r="I512" s="27"/>
      <c r="J512" s="27"/>
      <c r="K512" s="27"/>
      <c r="L512" s="27"/>
      <c r="M512" s="27"/>
    </row>
    <row r="513" spans="2:13" ht="15">
      <c r="B513" s="8"/>
      <c r="C513" s="27"/>
      <c r="D513" s="27"/>
      <c r="E513" s="27"/>
      <c r="F513" s="27"/>
      <c r="G513" s="27"/>
      <c r="H513" s="27"/>
      <c r="I513" s="27"/>
      <c r="J513" s="27"/>
      <c r="K513" s="27"/>
      <c r="L513" s="27"/>
      <c r="M513" s="27"/>
    </row>
    <row r="514" spans="2:13" ht="15">
      <c r="B514" s="8"/>
      <c r="C514" s="27"/>
      <c r="D514" s="27"/>
      <c r="E514" s="27"/>
      <c r="F514" s="27"/>
      <c r="G514" s="27"/>
      <c r="H514" s="27"/>
      <c r="I514" s="27"/>
      <c r="J514" s="27"/>
      <c r="K514" s="27"/>
      <c r="L514" s="27"/>
      <c r="M514" s="27"/>
    </row>
    <row r="515" spans="2:13" ht="15">
      <c r="B515" s="8"/>
      <c r="C515" s="27"/>
      <c r="D515" s="27"/>
      <c r="E515" s="27"/>
      <c r="F515" s="27"/>
      <c r="G515" s="27"/>
      <c r="H515" s="27"/>
      <c r="I515" s="27"/>
      <c r="J515" s="27"/>
      <c r="K515" s="27"/>
      <c r="L515" s="27"/>
      <c r="M515" s="27"/>
    </row>
    <row r="516" spans="2:13" ht="15">
      <c r="B516" s="8"/>
      <c r="C516" s="27"/>
      <c r="D516" s="27"/>
      <c r="E516" s="27"/>
      <c r="F516" s="27"/>
      <c r="G516" s="27"/>
      <c r="H516" s="27"/>
      <c r="I516" s="27"/>
      <c r="J516" s="27"/>
      <c r="K516" s="27"/>
      <c r="L516" s="27"/>
      <c r="M516" s="27"/>
    </row>
    <row r="517" spans="2:13" ht="15">
      <c r="B517" s="8"/>
      <c r="C517" s="27"/>
      <c r="D517" s="27"/>
      <c r="E517" s="27"/>
      <c r="F517" s="27"/>
      <c r="G517" s="27"/>
      <c r="H517" s="27"/>
      <c r="I517" s="27"/>
      <c r="J517" s="27"/>
      <c r="K517" s="27"/>
      <c r="L517" s="27"/>
      <c r="M517" s="27"/>
    </row>
    <row r="518" spans="2:13" ht="15">
      <c r="B518" s="8"/>
      <c r="C518" s="27"/>
      <c r="D518" s="27"/>
      <c r="E518" s="27"/>
      <c r="F518" s="27"/>
      <c r="G518" s="27"/>
      <c r="H518" s="27"/>
      <c r="I518" s="27"/>
      <c r="J518" s="27"/>
      <c r="K518" s="27"/>
      <c r="L518" s="27"/>
      <c r="M518" s="27"/>
    </row>
    <row r="519" spans="2:13" ht="15">
      <c r="B519" s="8"/>
      <c r="C519" s="27"/>
      <c r="D519" s="27"/>
      <c r="E519" s="27"/>
      <c r="F519" s="27"/>
      <c r="G519" s="27"/>
      <c r="H519" s="27"/>
      <c r="I519" s="27"/>
      <c r="J519" s="27"/>
      <c r="K519" s="27"/>
      <c r="L519" s="27"/>
      <c r="M519" s="27"/>
    </row>
    <row r="520" spans="2:13" ht="15">
      <c r="B520" s="8"/>
      <c r="C520" s="27"/>
      <c r="D520" s="27"/>
      <c r="E520" s="27"/>
      <c r="F520" s="27"/>
      <c r="G520" s="27"/>
      <c r="H520" s="27"/>
      <c r="I520" s="27"/>
      <c r="J520" s="27"/>
      <c r="K520" s="27"/>
      <c r="L520" s="27"/>
      <c r="M520" s="27"/>
    </row>
    <row r="521" spans="2:13" ht="15">
      <c r="B521" s="8"/>
      <c r="C521" s="27"/>
      <c r="D521" s="27"/>
      <c r="E521" s="27"/>
      <c r="F521" s="27"/>
      <c r="G521" s="27"/>
      <c r="H521" s="27"/>
      <c r="I521" s="27"/>
      <c r="J521" s="27"/>
      <c r="K521" s="27"/>
      <c r="L521" s="27"/>
      <c r="M521" s="27"/>
    </row>
    <row r="522" spans="2:13" ht="15">
      <c r="B522" s="8"/>
      <c r="C522" s="27"/>
      <c r="D522" s="27"/>
      <c r="E522" s="27"/>
      <c r="F522" s="27"/>
      <c r="G522" s="27"/>
      <c r="H522" s="27"/>
      <c r="I522" s="27"/>
      <c r="J522" s="27"/>
      <c r="K522" s="27"/>
      <c r="L522" s="27"/>
      <c r="M522" s="27"/>
    </row>
    <row r="523" spans="2:13" ht="15">
      <c r="B523" s="8"/>
      <c r="C523" s="27"/>
      <c r="D523" s="27"/>
      <c r="E523" s="27"/>
      <c r="F523" s="27"/>
      <c r="G523" s="27"/>
      <c r="H523" s="27"/>
      <c r="I523" s="27"/>
      <c r="J523" s="27"/>
      <c r="K523" s="27"/>
      <c r="L523" s="27"/>
      <c r="M523" s="27"/>
    </row>
    <row r="524" spans="2:13" ht="15">
      <c r="B524" s="8"/>
      <c r="C524" s="27"/>
      <c r="D524" s="27"/>
      <c r="E524" s="27"/>
      <c r="F524" s="27"/>
      <c r="G524" s="27"/>
      <c r="H524" s="27"/>
      <c r="I524" s="27"/>
      <c r="J524" s="27"/>
      <c r="K524" s="27"/>
      <c r="L524" s="27"/>
      <c r="M524" s="27"/>
    </row>
    <row r="525" spans="2:13" ht="15">
      <c r="B525" s="8"/>
      <c r="C525" s="27"/>
      <c r="D525" s="27"/>
      <c r="E525" s="27"/>
      <c r="F525" s="27"/>
      <c r="G525" s="27"/>
      <c r="H525" s="27"/>
      <c r="I525" s="27"/>
      <c r="J525" s="27"/>
      <c r="K525" s="27"/>
      <c r="L525" s="27"/>
      <c r="M525" s="27"/>
    </row>
    <row r="526" spans="2:13" ht="15">
      <c r="B526" s="8"/>
      <c r="C526" s="27"/>
      <c r="D526" s="27"/>
      <c r="E526" s="27"/>
      <c r="F526" s="27"/>
      <c r="G526" s="27"/>
      <c r="H526" s="27"/>
      <c r="I526" s="27"/>
      <c r="J526" s="27"/>
      <c r="K526" s="27"/>
      <c r="L526" s="27"/>
      <c r="M526" s="27"/>
    </row>
    <row r="527" spans="2:13" ht="15">
      <c r="B527" s="8"/>
      <c r="C527" s="27"/>
      <c r="D527" s="27"/>
      <c r="E527" s="27"/>
      <c r="F527" s="27"/>
      <c r="G527" s="27"/>
      <c r="H527" s="27"/>
      <c r="I527" s="27"/>
      <c r="J527" s="27"/>
      <c r="K527" s="27"/>
      <c r="L527" s="27"/>
      <c r="M527" s="27"/>
    </row>
    <row r="528" spans="2:13" ht="15">
      <c r="B528" s="8"/>
      <c r="C528" s="27"/>
      <c r="D528" s="27"/>
      <c r="E528" s="27"/>
      <c r="F528" s="27"/>
      <c r="G528" s="27"/>
      <c r="H528" s="27"/>
      <c r="I528" s="27"/>
      <c r="J528" s="27"/>
      <c r="K528" s="27"/>
      <c r="L528" s="27"/>
      <c r="M528" s="27"/>
    </row>
    <row r="529" spans="2:13" ht="15">
      <c r="B529" s="8"/>
      <c r="C529" s="27"/>
      <c r="D529" s="27"/>
      <c r="E529" s="27"/>
      <c r="F529" s="27"/>
      <c r="G529" s="27"/>
      <c r="H529" s="27"/>
      <c r="I529" s="27"/>
      <c r="J529" s="27"/>
      <c r="K529" s="27"/>
      <c r="L529" s="27"/>
      <c r="M529" s="27"/>
    </row>
    <row r="530" spans="2:13" ht="15">
      <c r="B530" s="8"/>
      <c r="C530" s="27"/>
      <c r="D530" s="27"/>
      <c r="E530" s="27"/>
      <c r="F530" s="27"/>
      <c r="G530" s="27"/>
      <c r="H530" s="27"/>
      <c r="I530" s="27"/>
      <c r="J530" s="27"/>
      <c r="K530" s="27"/>
      <c r="L530" s="27"/>
      <c r="M530" s="27"/>
    </row>
    <row r="531" spans="2:13" ht="15">
      <c r="B531" s="8"/>
      <c r="C531" s="27"/>
      <c r="D531" s="27"/>
      <c r="E531" s="27"/>
      <c r="F531" s="27"/>
      <c r="G531" s="27"/>
      <c r="H531" s="27"/>
      <c r="I531" s="27"/>
      <c r="J531" s="27"/>
      <c r="K531" s="27"/>
      <c r="L531" s="27"/>
      <c r="M531" s="27"/>
    </row>
    <row r="532" spans="2:13" ht="15">
      <c r="B532" s="8"/>
      <c r="C532" s="27"/>
      <c r="D532" s="27"/>
      <c r="E532" s="27"/>
      <c r="F532" s="27"/>
      <c r="G532" s="27"/>
      <c r="H532" s="27"/>
      <c r="I532" s="27"/>
      <c r="J532" s="27"/>
      <c r="K532" s="27"/>
      <c r="L532" s="27"/>
      <c r="M532" s="27"/>
    </row>
    <row r="533" spans="2:13" ht="15">
      <c r="B533" s="8"/>
      <c r="C533" s="27"/>
      <c r="D533" s="27"/>
      <c r="E533" s="27"/>
      <c r="F533" s="27"/>
      <c r="G533" s="27"/>
      <c r="H533" s="27"/>
      <c r="I533" s="27"/>
      <c r="J533" s="27"/>
      <c r="K533" s="27"/>
      <c r="L533" s="27"/>
      <c r="M533" s="27"/>
    </row>
    <row r="534" spans="2:13" ht="15">
      <c r="B534" s="8"/>
      <c r="C534" s="27"/>
      <c r="D534" s="27"/>
      <c r="E534" s="27"/>
      <c r="F534" s="27"/>
      <c r="G534" s="27"/>
      <c r="H534" s="27"/>
      <c r="I534" s="27"/>
      <c r="J534" s="27"/>
      <c r="K534" s="27"/>
      <c r="L534" s="27"/>
      <c r="M534" s="27"/>
    </row>
    <row r="535" spans="2:13" ht="15">
      <c r="B535" s="8"/>
      <c r="C535" s="27"/>
      <c r="D535" s="27"/>
      <c r="E535" s="27"/>
      <c r="F535" s="27"/>
      <c r="G535" s="27"/>
      <c r="H535" s="27"/>
      <c r="I535" s="27"/>
      <c r="J535" s="27"/>
      <c r="K535" s="27"/>
      <c r="L535" s="27"/>
      <c r="M535" s="27"/>
    </row>
    <row r="536" spans="2:13" ht="15">
      <c r="B536" s="8"/>
      <c r="C536" s="27"/>
      <c r="D536" s="27"/>
      <c r="E536" s="27"/>
      <c r="F536" s="27"/>
      <c r="G536" s="27"/>
      <c r="H536" s="27"/>
      <c r="I536" s="27"/>
      <c r="J536" s="27"/>
      <c r="K536" s="27"/>
      <c r="L536" s="27"/>
      <c r="M536" s="27"/>
    </row>
    <row r="537" spans="2:13" ht="15">
      <c r="B537" s="8"/>
      <c r="C537" s="27"/>
      <c r="D537" s="27"/>
      <c r="E537" s="27"/>
      <c r="F537" s="27"/>
      <c r="G537" s="27"/>
      <c r="H537" s="27"/>
      <c r="I537" s="27"/>
      <c r="J537" s="27"/>
      <c r="K537" s="27"/>
      <c r="L537" s="27"/>
      <c r="M537" s="27"/>
    </row>
    <row r="538" spans="2:13" ht="15">
      <c r="B538" s="8"/>
      <c r="C538" s="27"/>
      <c r="D538" s="27"/>
      <c r="E538" s="27"/>
      <c r="F538" s="27"/>
      <c r="G538" s="27"/>
      <c r="H538" s="27"/>
      <c r="I538" s="27"/>
      <c r="J538" s="27"/>
      <c r="K538" s="27"/>
      <c r="L538" s="27"/>
      <c r="M538" s="27"/>
    </row>
    <row r="539" spans="2:13" ht="15">
      <c r="B539" s="8"/>
      <c r="C539" s="27"/>
      <c r="D539" s="27"/>
      <c r="E539" s="27"/>
      <c r="F539" s="27"/>
      <c r="G539" s="27"/>
      <c r="H539" s="27"/>
      <c r="I539" s="27"/>
      <c r="J539" s="27"/>
      <c r="K539" s="27"/>
      <c r="L539" s="27"/>
      <c r="M539" s="27"/>
    </row>
    <row r="540" spans="2:13" ht="15">
      <c r="B540" s="8"/>
      <c r="C540" s="27"/>
      <c r="D540" s="27"/>
      <c r="E540" s="27"/>
      <c r="F540" s="27"/>
      <c r="G540" s="27"/>
      <c r="H540" s="27"/>
      <c r="I540" s="27"/>
      <c r="J540" s="27"/>
      <c r="K540" s="27"/>
      <c r="L540" s="27"/>
      <c r="M540" s="27"/>
    </row>
    <row r="541" spans="2:13" ht="15">
      <c r="B541" s="8"/>
      <c r="C541" s="27"/>
      <c r="D541" s="27"/>
      <c r="E541" s="27"/>
      <c r="F541" s="27"/>
      <c r="G541" s="27"/>
      <c r="H541" s="27"/>
      <c r="I541" s="27"/>
      <c r="J541" s="27"/>
      <c r="K541" s="27"/>
      <c r="L541" s="27"/>
      <c r="M541" s="27"/>
    </row>
    <row r="542" spans="2:13" ht="15">
      <c r="B542" s="8"/>
      <c r="C542" s="27"/>
      <c r="D542" s="27"/>
      <c r="E542" s="27"/>
      <c r="F542" s="27"/>
      <c r="G542" s="27"/>
      <c r="H542" s="27"/>
      <c r="I542" s="27"/>
      <c r="J542" s="27"/>
      <c r="K542" s="27"/>
      <c r="L542" s="27"/>
      <c r="M542" s="27"/>
    </row>
    <row r="543" spans="2:13" ht="15">
      <c r="B543" s="8"/>
      <c r="C543" s="27"/>
      <c r="D543" s="27"/>
      <c r="E543" s="27"/>
      <c r="F543" s="27"/>
      <c r="G543" s="27"/>
      <c r="H543" s="27"/>
      <c r="I543" s="27"/>
      <c r="J543" s="27"/>
      <c r="K543" s="27"/>
      <c r="L543" s="27"/>
      <c r="M543" s="27"/>
    </row>
    <row r="544" spans="2:13" ht="15">
      <c r="B544" s="8"/>
      <c r="C544" s="27"/>
      <c r="D544" s="27"/>
      <c r="E544" s="27"/>
      <c r="F544" s="27"/>
      <c r="G544" s="27"/>
      <c r="H544" s="27"/>
      <c r="I544" s="27"/>
      <c r="J544" s="27"/>
      <c r="K544" s="27"/>
      <c r="L544" s="27"/>
      <c r="M544" s="27"/>
    </row>
    <row r="545" spans="2:13" ht="15">
      <c r="B545" s="8"/>
      <c r="C545" s="27"/>
      <c r="D545" s="27"/>
      <c r="E545" s="27"/>
      <c r="F545" s="27"/>
      <c r="G545" s="27"/>
      <c r="H545" s="27"/>
      <c r="I545" s="27"/>
      <c r="J545" s="27"/>
      <c r="K545" s="27"/>
      <c r="L545" s="27"/>
      <c r="M545" s="27"/>
    </row>
    <row r="546" spans="2:13" ht="15">
      <c r="B546" s="8"/>
      <c r="C546" s="27"/>
      <c r="D546" s="27"/>
      <c r="E546" s="27"/>
      <c r="F546" s="27"/>
      <c r="G546" s="27"/>
      <c r="H546" s="27"/>
      <c r="I546" s="27"/>
      <c r="J546" s="27"/>
      <c r="K546" s="27"/>
      <c r="L546" s="27"/>
      <c r="M546" s="27"/>
    </row>
    <row r="547" spans="2:13" ht="15">
      <c r="B547" s="8"/>
      <c r="C547" s="27"/>
      <c r="D547" s="27"/>
      <c r="E547" s="27"/>
      <c r="F547" s="27"/>
      <c r="G547" s="27"/>
      <c r="H547" s="27"/>
      <c r="I547" s="27"/>
      <c r="J547" s="27"/>
      <c r="K547" s="27"/>
      <c r="L547" s="27"/>
      <c r="M547" s="27"/>
    </row>
    <row r="548" spans="2:13" ht="15">
      <c r="B548" s="8"/>
      <c r="C548" s="27"/>
      <c r="D548" s="27"/>
      <c r="E548" s="27"/>
      <c r="F548" s="27"/>
      <c r="G548" s="27"/>
      <c r="H548" s="27"/>
      <c r="I548" s="27"/>
      <c r="J548" s="27"/>
      <c r="K548" s="27"/>
      <c r="L548" s="27"/>
      <c r="M548" s="27"/>
    </row>
    <row r="549" spans="2:13" ht="15">
      <c r="B549" s="8"/>
      <c r="C549" s="27"/>
      <c r="D549" s="27"/>
      <c r="E549" s="27"/>
      <c r="F549" s="27"/>
      <c r="G549" s="27"/>
      <c r="H549" s="27"/>
      <c r="I549" s="27"/>
      <c r="J549" s="27"/>
      <c r="K549" s="27"/>
      <c r="L549" s="27"/>
      <c r="M549" s="27"/>
    </row>
    <row r="550" spans="2:13" ht="15">
      <c r="B550" s="8"/>
      <c r="C550" s="27"/>
      <c r="D550" s="27"/>
      <c r="E550" s="27"/>
      <c r="F550" s="27"/>
      <c r="G550" s="27"/>
      <c r="H550" s="27"/>
      <c r="I550" s="27"/>
      <c r="J550" s="27"/>
      <c r="K550" s="27"/>
      <c r="L550" s="27"/>
      <c r="M550" s="27"/>
    </row>
    <row r="551" spans="2:13" ht="15">
      <c r="B551" s="8"/>
      <c r="C551" s="27"/>
      <c r="D551" s="27"/>
      <c r="E551" s="27"/>
      <c r="F551" s="27"/>
      <c r="G551" s="27"/>
      <c r="H551" s="27"/>
      <c r="I551" s="27"/>
      <c r="J551" s="27"/>
      <c r="K551" s="27"/>
      <c r="L551" s="27"/>
      <c r="M551" s="27"/>
    </row>
    <row r="552" spans="2:13" ht="15">
      <c r="B552" s="8"/>
      <c r="C552" s="27"/>
      <c r="D552" s="27"/>
      <c r="E552" s="27"/>
      <c r="F552" s="27"/>
      <c r="G552" s="27"/>
      <c r="H552" s="27"/>
      <c r="I552" s="27"/>
      <c r="J552" s="27"/>
      <c r="K552" s="27"/>
      <c r="L552" s="27"/>
      <c r="M552" s="27"/>
    </row>
    <row r="553" spans="2:13" ht="15">
      <c r="B553" s="8"/>
      <c r="C553" s="27"/>
      <c r="D553" s="27"/>
      <c r="E553" s="27"/>
      <c r="F553" s="27"/>
      <c r="G553" s="27"/>
      <c r="H553" s="27"/>
      <c r="I553" s="27"/>
      <c r="J553" s="27"/>
      <c r="K553" s="27"/>
      <c r="L553" s="27"/>
      <c r="M553" s="27"/>
    </row>
    <row r="554" spans="2:13" ht="15">
      <c r="B554" s="8"/>
      <c r="C554" s="27"/>
      <c r="D554" s="27"/>
      <c r="E554" s="27"/>
      <c r="F554" s="27"/>
      <c r="G554" s="27"/>
      <c r="H554" s="27"/>
      <c r="I554" s="27"/>
      <c r="J554" s="27"/>
      <c r="K554" s="27"/>
      <c r="L554" s="27"/>
      <c r="M554" s="27"/>
    </row>
    <row r="555" spans="2:13" ht="15">
      <c r="B555" s="8"/>
      <c r="C555" s="27"/>
      <c r="D555" s="27"/>
      <c r="E555" s="27"/>
      <c r="F555" s="27"/>
      <c r="G555" s="27"/>
      <c r="H555" s="27"/>
      <c r="I555" s="27"/>
      <c r="J555" s="27"/>
      <c r="K555" s="27"/>
      <c r="L555" s="27"/>
      <c r="M555" s="27"/>
    </row>
    <row r="556" spans="2:13" ht="15">
      <c r="B556" s="8"/>
      <c r="C556" s="27"/>
      <c r="D556" s="27"/>
      <c r="E556" s="27"/>
      <c r="F556" s="27"/>
      <c r="G556" s="27"/>
      <c r="H556" s="27"/>
      <c r="I556" s="27"/>
      <c r="J556" s="27"/>
      <c r="K556" s="27"/>
      <c r="L556" s="27"/>
      <c r="M556" s="27"/>
    </row>
    <row r="557" spans="2:13" ht="15">
      <c r="B557" s="8"/>
      <c r="C557" s="27"/>
      <c r="D557" s="27"/>
      <c r="E557" s="27"/>
      <c r="F557" s="27"/>
      <c r="G557" s="27"/>
      <c r="H557" s="27"/>
      <c r="I557" s="27"/>
      <c r="J557" s="27"/>
      <c r="K557" s="27"/>
      <c r="L557" s="27"/>
      <c r="M557" s="27"/>
    </row>
    <row r="558" spans="2:13" ht="15">
      <c r="B558" s="8"/>
      <c r="C558" s="27"/>
      <c r="D558" s="27"/>
      <c r="E558" s="27"/>
      <c r="F558" s="27"/>
      <c r="G558" s="27"/>
      <c r="H558" s="27"/>
      <c r="I558" s="27"/>
      <c r="J558" s="27"/>
      <c r="K558" s="27"/>
      <c r="L558" s="27"/>
      <c r="M558" s="27"/>
    </row>
    <row r="559" spans="2:13" ht="15">
      <c r="B559" s="8"/>
      <c r="C559" s="27"/>
      <c r="D559" s="27"/>
      <c r="E559" s="27"/>
      <c r="F559" s="27"/>
      <c r="G559" s="27"/>
      <c r="H559" s="27"/>
      <c r="I559" s="27"/>
      <c r="J559" s="27"/>
      <c r="K559" s="27"/>
      <c r="L559" s="27"/>
      <c r="M559" s="27"/>
    </row>
    <row r="560" spans="2:13" ht="15">
      <c r="B560" s="8"/>
      <c r="C560" s="27"/>
      <c r="D560" s="27"/>
      <c r="E560" s="27"/>
      <c r="F560" s="27"/>
      <c r="G560" s="27"/>
      <c r="H560" s="27"/>
      <c r="I560" s="27"/>
      <c r="J560" s="27"/>
      <c r="K560" s="27"/>
      <c r="L560" s="27"/>
      <c r="M560" s="27"/>
    </row>
    <row r="561" spans="2:13" ht="15">
      <c r="B561" s="8"/>
      <c r="C561" s="27"/>
      <c r="D561" s="27"/>
      <c r="E561" s="27"/>
      <c r="F561" s="27"/>
      <c r="G561" s="27"/>
      <c r="H561" s="27"/>
      <c r="I561" s="27"/>
      <c r="J561" s="27"/>
      <c r="K561" s="27"/>
      <c r="L561" s="27"/>
      <c r="M561" s="27"/>
    </row>
    <row r="562" spans="2:13" ht="15">
      <c r="B562" s="8"/>
      <c r="C562" s="27"/>
      <c r="D562" s="27"/>
      <c r="E562" s="27"/>
      <c r="F562" s="27"/>
      <c r="G562" s="27"/>
      <c r="H562" s="27"/>
      <c r="I562" s="27"/>
      <c r="J562" s="27"/>
      <c r="K562" s="27"/>
      <c r="L562" s="27"/>
      <c r="M562" s="27"/>
    </row>
    <row r="563" spans="2:13" ht="15">
      <c r="B563" s="8"/>
      <c r="C563" s="27"/>
      <c r="D563" s="27"/>
      <c r="E563" s="27"/>
      <c r="F563" s="27"/>
      <c r="G563" s="27"/>
      <c r="H563" s="27"/>
      <c r="I563" s="27"/>
      <c r="J563" s="27"/>
      <c r="K563" s="27"/>
      <c r="L563" s="27"/>
      <c r="M563" s="27"/>
    </row>
    <row r="564" spans="2:13" ht="15">
      <c r="B564" s="8"/>
      <c r="C564" s="27"/>
      <c r="D564" s="27"/>
      <c r="E564" s="27"/>
      <c r="F564" s="27"/>
      <c r="G564" s="27"/>
      <c r="H564" s="27"/>
      <c r="I564" s="27"/>
      <c r="J564" s="27"/>
      <c r="K564" s="27"/>
      <c r="L564" s="27"/>
      <c r="M564" s="27"/>
    </row>
    <row r="565" spans="2:13" ht="15">
      <c r="B565" s="8"/>
      <c r="C565" s="27"/>
      <c r="D565" s="27"/>
      <c r="E565" s="27"/>
      <c r="F565" s="27"/>
      <c r="G565" s="27"/>
      <c r="H565" s="27"/>
      <c r="I565" s="27"/>
      <c r="J565" s="27"/>
      <c r="K565" s="27"/>
      <c r="L565" s="27"/>
      <c r="M565" s="27"/>
    </row>
    <row r="566" spans="2:13" ht="15">
      <c r="B566" s="8"/>
      <c r="C566" s="27"/>
      <c r="D566" s="27"/>
      <c r="E566" s="27"/>
      <c r="F566" s="27"/>
      <c r="G566" s="27"/>
      <c r="H566" s="27"/>
      <c r="I566" s="27"/>
      <c r="J566" s="27"/>
      <c r="K566" s="27"/>
      <c r="L566" s="27"/>
      <c r="M566" s="27"/>
    </row>
    <row r="567" spans="2:13" ht="15">
      <c r="B567" s="8"/>
      <c r="C567" s="27"/>
      <c r="D567" s="27"/>
      <c r="E567" s="27"/>
      <c r="F567" s="27"/>
      <c r="G567" s="27"/>
      <c r="H567" s="27"/>
      <c r="I567" s="27"/>
      <c r="J567" s="27"/>
      <c r="K567" s="27"/>
      <c r="L567" s="27"/>
      <c r="M567" s="27"/>
    </row>
    <row r="568" spans="2:13" ht="15">
      <c r="B568" s="8"/>
      <c r="C568" s="27"/>
      <c r="D568" s="27"/>
      <c r="E568" s="27"/>
      <c r="F568" s="27"/>
      <c r="G568" s="27"/>
      <c r="H568" s="27"/>
      <c r="I568" s="27"/>
      <c r="J568" s="27"/>
      <c r="K568" s="27"/>
      <c r="L568" s="27"/>
      <c r="M568" s="27"/>
    </row>
    <row r="569" spans="2:13" ht="15">
      <c r="B569" s="8"/>
      <c r="C569" s="27"/>
      <c r="D569" s="27"/>
      <c r="E569" s="27"/>
      <c r="F569" s="27"/>
      <c r="G569" s="27"/>
      <c r="H569" s="27"/>
      <c r="I569" s="27"/>
      <c r="J569" s="27"/>
      <c r="K569" s="27"/>
      <c r="L569" s="27"/>
      <c r="M569" s="27"/>
    </row>
    <row r="570" spans="2:13" ht="15">
      <c r="B570" s="8"/>
      <c r="C570" s="27"/>
      <c r="D570" s="27"/>
      <c r="E570" s="27"/>
      <c r="F570" s="27"/>
      <c r="G570" s="27"/>
      <c r="H570" s="27"/>
      <c r="I570" s="27"/>
      <c r="J570" s="27"/>
      <c r="K570" s="27"/>
      <c r="L570" s="27"/>
      <c r="M570" s="27"/>
    </row>
    <row r="571" spans="2:13" ht="15">
      <c r="B571" s="8"/>
      <c r="C571" s="27"/>
      <c r="D571" s="27"/>
      <c r="E571" s="27"/>
      <c r="F571" s="27"/>
      <c r="G571" s="27"/>
      <c r="H571" s="27"/>
      <c r="I571" s="27"/>
      <c r="J571" s="27"/>
      <c r="K571" s="27"/>
      <c r="L571" s="27"/>
      <c r="M571" s="27"/>
    </row>
    <row r="572" spans="2:13" ht="15">
      <c r="B572" s="8"/>
      <c r="C572" s="27"/>
      <c r="D572" s="27"/>
      <c r="E572" s="27"/>
      <c r="F572" s="27"/>
      <c r="G572" s="27"/>
      <c r="H572" s="27"/>
      <c r="I572" s="27"/>
      <c r="J572" s="27"/>
      <c r="K572" s="27"/>
      <c r="L572" s="27"/>
      <c r="M572" s="27"/>
    </row>
    <row r="573" spans="2:13" ht="15">
      <c r="B573" s="8"/>
      <c r="C573" s="27"/>
      <c r="D573" s="27"/>
      <c r="E573" s="27"/>
      <c r="F573" s="27"/>
      <c r="G573" s="27"/>
      <c r="H573" s="27"/>
      <c r="I573" s="27"/>
      <c r="J573" s="27"/>
      <c r="K573" s="27"/>
      <c r="L573" s="27"/>
      <c r="M573" s="27"/>
    </row>
    <row r="574" spans="2:13" ht="15">
      <c r="B574" s="8"/>
      <c r="C574" s="27"/>
      <c r="D574" s="27"/>
      <c r="E574" s="27"/>
      <c r="F574" s="27"/>
      <c r="G574" s="27"/>
      <c r="H574" s="27"/>
      <c r="I574" s="27"/>
      <c r="J574" s="27"/>
      <c r="K574" s="27"/>
      <c r="L574" s="27"/>
      <c r="M574" s="27"/>
    </row>
    <row r="575" spans="2:13" ht="15">
      <c r="B575" s="8"/>
      <c r="C575" s="27"/>
      <c r="D575" s="27"/>
      <c r="E575" s="27"/>
      <c r="F575" s="27"/>
      <c r="G575" s="27"/>
      <c r="H575" s="27"/>
      <c r="I575" s="27"/>
      <c r="J575" s="27"/>
      <c r="K575" s="27"/>
      <c r="L575" s="27"/>
      <c r="M575" s="27"/>
    </row>
    <row r="576" spans="2:13" ht="15">
      <c r="B576" s="8"/>
      <c r="C576" s="27"/>
      <c r="D576" s="27"/>
      <c r="E576" s="27"/>
      <c r="F576" s="27"/>
      <c r="G576" s="27"/>
      <c r="H576" s="27"/>
      <c r="I576" s="27"/>
      <c r="J576" s="27"/>
      <c r="K576" s="27"/>
      <c r="L576" s="27"/>
      <c r="M576" s="27"/>
    </row>
    <row r="577" spans="2:13" ht="15">
      <c r="B577" s="8"/>
      <c r="C577" s="27"/>
      <c r="D577" s="27"/>
      <c r="E577" s="27"/>
      <c r="F577" s="27"/>
      <c r="G577" s="27"/>
      <c r="H577" s="27"/>
      <c r="I577" s="27"/>
      <c r="J577" s="27"/>
      <c r="K577" s="27"/>
      <c r="L577" s="27"/>
      <c r="M577" s="27"/>
    </row>
    <row r="578" spans="2:13" ht="15">
      <c r="B578" s="8"/>
      <c r="C578" s="27"/>
      <c r="D578" s="27"/>
      <c r="E578" s="27"/>
      <c r="F578" s="27"/>
      <c r="G578" s="27"/>
      <c r="H578" s="27"/>
      <c r="I578" s="27"/>
      <c r="J578" s="27"/>
      <c r="K578" s="27"/>
      <c r="L578" s="27"/>
      <c r="M578" s="27"/>
    </row>
    <row r="579" spans="2:13" ht="15">
      <c r="B579" s="8"/>
      <c r="C579" s="27"/>
      <c r="D579" s="27"/>
      <c r="E579" s="27"/>
      <c r="F579" s="27"/>
      <c r="G579" s="27"/>
      <c r="H579" s="27"/>
      <c r="I579" s="27"/>
      <c r="J579" s="27"/>
      <c r="K579" s="27"/>
      <c r="L579" s="27"/>
      <c r="M579" s="27"/>
    </row>
    <row r="580" spans="2:13" ht="15">
      <c r="B580" s="8"/>
      <c r="C580" s="27"/>
      <c r="D580" s="27"/>
      <c r="E580" s="27"/>
      <c r="F580" s="27"/>
      <c r="G580" s="27"/>
      <c r="H580" s="27"/>
      <c r="I580" s="27"/>
      <c r="J580" s="27"/>
      <c r="K580" s="27"/>
      <c r="L580" s="27"/>
      <c r="M580" s="27"/>
    </row>
    <row r="581" spans="2:13" ht="15">
      <c r="B581" s="8"/>
      <c r="C581" s="27"/>
      <c r="D581" s="27"/>
      <c r="E581" s="27"/>
      <c r="F581" s="27"/>
      <c r="G581" s="27"/>
      <c r="H581" s="27"/>
      <c r="I581" s="27"/>
      <c r="J581" s="27"/>
      <c r="K581" s="27"/>
      <c r="L581" s="27"/>
      <c r="M581" s="27"/>
    </row>
    <row r="582" spans="2:13" ht="15">
      <c r="B582" s="8"/>
      <c r="C582" s="27"/>
      <c r="D582" s="27"/>
      <c r="E582" s="27"/>
      <c r="F582" s="27"/>
      <c r="G582" s="27"/>
      <c r="H582" s="27"/>
      <c r="I582" s="27"/>
      <c r="J582" s="27"/>
      <c r="K582" s="27"/>
      <c r="L582" s="27"/>
      <c r="M582" s="27"/>
    </row>
    <row r="583" spans="2:13" ht="15">
      <c r="B583" s="8"/>
      <c r="C583" s="27"/>
      <c r="D583" s="27"/>
      <c r="E583" s="27"/>
      <c r="F583" s="27"/>
      <c r="G583" s="27"/>
      <c r="H583" s="27"/>
      <c r="I583" s="27"/>
      <c r="J583" s="27"/>
      <c r="K583" s="27"/>
      <c r="L583" s="27"/>
      <c r="M583" s="27"/>
    </row>
    <row r="584" spans="2:13" ht="15">
      <c r="B584" s="8"/>
      <c r="C584" s="27"/>
      <c r="D584" s="27"/>
      <c r="E584" s="27"/>
      <c r="F584" s="27"/>
      <c r="G584" s="27"/>
      <c r="H584" s="27"/>
      <c r="I584" s="27"/>
      <c r="J584" s="27"/>
      <c r="K584" s="27"/>
      <c r="L584" s="27"/>
      <c r="M584" s="27"/>
    </row>
    <row r="585" spans="2:13" ht="15">
      <c r="B585" s="8"/>
      <c r="C585" s="27"/>
      <c r="D585" s="27"/>
      <c r="E585" s="27"/>
      <c r="F585" s="27"/>
      <c r="G585" s="27"/>
      <c r="H585" s="27"/>
      <c r="I585" s="27"/>
      <c r="J585" s="27"/>
      <c r="K585" s="27"/>
      <c r="L585" s="27"/>
      <c r="M585" s="27"/>
    </row>
    <row r="586" spans="2:13" ht="15">
      <c r="B586" s="8"/>
      <c r="C586" s="27"/>
      <c r="D586" s="27"/>
      <c r="E586" s="27"/>
      <c r="F586" s="27"/>
      <c r="G586" s="27"/>
      <c r="H586" s="27"/>
      <c r="I586" s="27"/>
      <c r="J586" s="27"/>
      <c r="K586" s="27"/>
      <c r="L586" s="27"/>
      <c r="M586" s="27"/>
    </row>
    <row r="587" spans="2:13" ht="15">
      <c r="B587" s="8"/>
      <c r="C587" s="27"/>
      <c r="D587" s="27"/>
      <c r="E587" s="27"/>
      <c r="F587" s="27"/>
      <c r="G587" s="27"/>
      <c r="H587" s="27"/>
      <c r="I587" s="27"/>
      <c r="J587" s="27"/>
      <c r="K587" s="27"/>
      <c r="L587" s="27"/>
      <c r="M587" s="27"/>
    </row>
    <row r="588" spans="2:13" ht="15">
      <c r="B588" s="8"/>
      <c r="C588" s="27"/>
      <c r="D588" s="27"/>
      <c r="E588" s="27"/>
      <c r="F588" s="27"/>
      <c r="G588" s="27"/>
      <c r="H588" s="27"/>
      <c r="I588" s="27"/>
      <c r="J588" s="27"/>
      <c r="K588" s="27"/>
      <c r="L588" s="27"/>
      <c r="M588" s="27"/>
    </row>
    <row r="589" spans="2:13" ht="15">
      <c r="B589" s="8"/>
      <c r="C589" s="27"/>
      <c r="D589" s="27"/>
      <c r="E589" s="27"/>
      <c r="F589" s="27"/>
      <c r="G589" s="27"/>
      <c r="H589" s="27"/>
      <c r="I589" s="27"/>
      <c r="J589" s="27"/>
      <c r="K589" s="27"/>
      <c r="L589" s="27"/>
      <c r="M589" s="27"/>
    </row>
    <row r="590" spans="2:13" ht="15">
      <c r="B590" s="8"/>
      <c r="C590" s="27"/>
      <c r="D590" s="27"/>
      <c r="E590" s="27"/>
      <c r="F590" s="27"/>
      <c r="G590" s="27"/>
      <c r="H590" s="27"/>
      <c r="I590" s="27"/>
      <c r="J590" s="27"/>
      <c r="K590" s="27"/>
      <c r="L590" s="27"/>
      <c r="M590" s="27"/>
    </row>
    <row r="591" spans="2:13" ht="15">
      <c r="B591" s="8"/>
      <c r="C591" s="27"/>
      <c r="D591" s="27"/>
      <c r="E591" s="27"/>
      <c r="F591" s="27"/>
      <c r="G591" s="27"/>
      <c r="H591" s="27"/>
      <c r="I591" s="27"/>
      <c r="J591" s="27"/>
      <c r="K591" s="27"/>
      <c r="L591" s="27"/>
      <c r="M591" s="27"/>
    </row>
    <row r="592" spans="2:13" ht="15">
      <c r="B592" s="8"/>
      <c r="C592" s="27"/>
      <c r="D592" s="27"/>
      <c r="E592" s="27"/>
      <c r="F592" s="27"/>
      <c r="G592" s="27"/>
      <c r="H592" s="27"/>
      <c r="I592" s="27"/>
      <c r="J592" s="27"/>
      <c r="K592" s="27"/>
      <c r="L592" s="27"/>
      <c r="M592" s="27"/>
    </row>
    <row r="593" spans="2:13" ht="15">
      <c r="B593" s="8"/>
      <c r="C593" s="27"/>
      <c r="D593" s="27"/>
      <c r="E593" s="27"/>
      <c r="F593" s="27"/>
      <c r="G593" s="27"/>
      <c r="H593" s="27"/>
      <c r="I593" s="27"/>
      <c r="J593" s="27"/>
      <c r="K593" s="27"/>
      <c r="L593" s="27"/>
      <c r="M593" s="27"/>
    </row>
    <row r="594" spans="2:13" ht="15">
      <c r="B594" s="8"/>
      <c r="C594" s="27"/>
      <c r="D594" s="27"/>
      <c r="E594" s="27"/>
      <c r="F594" s="27"/>
      <c r="G594" s="27"/>
      <c r="H594" s="27"/>
      <c r="I594" s="27"/>
      <c r="J594" s="27"/>
      <c r="K594" s="27"/>
      <c r="L594" s="27"/>
      <c r="M594" s="27"/>
    </row>
    <row r="595" spans="2:13" ht="15">
      <c r="B595" s="8"/>
      <c r="C595" s="27"/>
      <c r="D595" s="27"/>
      <c r="E595" s="27"/>
      <c r="F595" s="27"/>
      <c r="G595" s="27"/>
      <c r="H595" s="27"/>
      <c r="I595" s="27"/>
      <c r="J595" s="27"/>
      <c r="K595" s="27"/>
      <c r="L595" s="27"/>
      <c r="M595" s="27"/>
    </row>
    <row r="596" spans="2:13" ht="15">
      <c r="B596" s="8"/>
      <c r="C596" s="27"/>
      <c r="D596" s="27"/>
      <c r="E596" s="27"/>
      <c r="F596" s="27"/>
      <c r="G596" s="27"/>
      <c r="H596" s="27"/>
      <c r="I596" s="27"/>
      <c r="J596" s="27"/>
      <c r="K596" s="27"/>
      <c r="L596" s="27"/>
      <c r="M596" s="27"/>
    </row>
    <row r="597" spans="2:13" ht="15">
      <c r="B597" s="8"/>
      <c r="C597" s="27"/>
      <c r="D597" s="27"/>
      <c r="E597" s="27"/>
      <c r="F597" s="27"/>
      <c r="G597" s="27"/>
      <c r="H597" s="27"/>
      <c r="I597" s="27"/>
      <c r="J597" s="27"/>
      <c r="K597" s="27"/>
      <c r="L597" s="27"/>
      <c r="M597" s="27"/>
    </row>
    <row r="598" spans="2:13" ht="15">
      <c r="B598" s="8"/>
      <c r="C598" s="27"/>
      <c r="D598" s="27"/>
      <c r="E598" s="27"/>
      <c r="F598" s="27"/>
      <c r="G598" s="27"/>
      <c r="H598" s="27"/>
      <c r="I598" s="27"/>
      <c r="J598" s="27"/>
      <c r="K598" s="27"/>
      <c r="L598" s="27"/>
      <c r="M598" s="27"/>
    </row>
    <row r="599" spans="2:13" ht="15">
      <c r="B599" s="8"/>
      <c r="C599" s="27"/>
      <c r="D599" s="27"/>
      <c r="E599" s="27"/>
      <c r="F599" s="27"/>
      <c r="G599" s="27"/>
      <c r="H599" s="27"/>
      <c r="I599" s="27"/>
      <c r="J599" s="27"/>
      <c r="K599" s="27"/>
      <c r="L599" s="27"/>
      <c r="M599" s="27"/>
    </row>
    <row r="600" spans="2:13" ht="15">
      <c r="B600" s="8"/>
      <c r="C600" s="27"/>
      <c r="D600" s="27"/>
      <c r="E600" s="27"/>
      <c r="F600" s="27"/>
      <c r="G600" s="27"/>
      <c r="H600" s="27"/>
      <c r="I600" s="27"/>
      <c r="J600" s="27"/>
      <c r="K600" s="27"/>
      <c r="L600" s="27"/>
      <c r="M600" s="27"/>
    </row>
    <row r="601" spans="2:13" ht="15">
      <c r="B601" s="8"/>
      <c r="C601" s="27"/>
      <c r="D601" s="27"/>
      <c r="E601" s="27"/>
      <c r="F601" s="27"/>
      <c r="G601" s="27"/>
      <c r="H601" s="27"/>
      <c r="I601" s="27"/>
      <c r="J601" s="27"/>
      <c r="K601" s="27"/>
      <c r="L601" s="27"/>
      <c r="M601" s="27"/>
    </row>
    <row r="602" spans="2:13" ht="15">
      <c r="B602" s="8"/>
      <c r="C602" s="27"/>
      <c r="D602" s="27"/>
      <c r="E602" s="27"/>
      <c r="F602" s="27"/>
      <c r="G602" s="27"/>
      <c r="H602" s="27"/>
      <c r="I602" s="27"/>
      <c r="J602" s="27"/>
      <c r="K602" s="27"/>
      <c r="L602" s="27"/>
      <c r="M602" s="27"/>
    </row>
    <row r="603" spans="2:13" ht="15">
      <c r="B603" s="8"/>
      <c r="C603" s="27"/>
      <c r="D603" s="27"/>
      <c r="E603" s="27"/>
      <c r="F603" s="27"/>
      <c r="G603" s="27"/>
      <c r="H603" s="27"/>
      <c r="I603" s="27"/>
      <c r="J603" s="27"/>
      <c r="K603" s="27"/>
      <c r="L603" s="27"/>
      <c r="M603" s="27"/>
    </row>
    <row r="604" spans="2:13" ht="15">
      <c r="B604" s="8"/>
      <c r="C604" s="27"/>
      <c r="D604" s="27"/>
      <c r="E604" s="27"/>
      <c r="F604" s="27"/>
      <c r="G604" s="27"/>
      <c r="H604" s="27"/>
      <c r="I604" s="27"/>
      <c r="J604" s="27"/>
      <c r="K604" s="27"/>
      <c r="L604" s="27"/>
      <c r="M604" s="27"/>
    </row>
    <row r="605" spans="2:13" ht="15">
      <c r="B605" s="8"/>
      <c r="C605" s="27"/>
      <c r="D605" s="27"/>
      <c r="E605" s="27"/>
      <c r="F605" s="27"/>
      <c r="G605" s="27"/>
      <c r="H605" s="27"/>
      <c r="I605" s="27"/>
      <c r="J605" s="27"/>
      <c r="K605" s="27"/>
      <c r="L605" s="27"/>
      <c r="M605" s="27"/>
    </row>
    <row r="606" spans="2:13" ht="15">
      <c r="B606" s="8"/>
      <c r="C606" s="27"/>
      <c r="D606" s="27"/>
      <c r="E606" s="27"/>
      <c r="F606" s="27"/>
      <c r="G606" s="27"/>
      <c r="H606" s="27"/>
      <c r="I606" s="27"/>
      <c r="J606" s="27"/>
      <c r="K606" s="27"/>
      <c r="L606" s="27"/>
      <c r="M606" s="27"/>
    </row>
    <row r="607" spans="2:13" ht="15">
      <c r="B607" s="8"/>
      <c r="C607" s="27"/>
      <c r="D607" s="27"/>
      <c r="E607" s="27"/>
      <c r="F607" s="27"/>
      <c r="G607" s="27"/>
      <c r="H607" s="27"/>
      <c r="I607" s="27"/>
      <c r="J607" s="27"/>
      <c r="K607" s="27"/>
      <c r="L607" s="27"/>
      <c r="M607" s="27"/>
    </row>
    <row r="608" spans="2:13" ht="15">
      <c r="B608" s="8"/>
      <c r="C608" s="27"/>
      <c r="D608" s="27"/>
      <c r="E608" s="27"/>
      <c r="F608" s="27"/>
      <c r="G608" s="27"/>
      <c r="H608" s="27"/>
      <c r="I608" s="27"/>
      <c r="J608" s="27"/>
      <c r="K608" s="27"/>
      <c r="L608" s="27"/>
      <c r="M608" s="27"/>
    </row>
    <row r="609" spans="2:13" ht="15">
      <c r="B609" s="8"/>
      <c r="C609" s="27"/>
      <c r="D609" s="27"/>
      <c r="E609" s="27"/>
      <c r="F609" s="27"/>
      <c r="G609" s="27"/>
      <c r="H609" s="27"/>
      <c r="I609" s="27"/>
      <c r="J609" s="27"/>
      <c r="K609" s="27"/>
      <c r="L609" s="27"/>
      <c r="M609" s="27"/>
    </row>
    <row r="610" spans="2:13" ht="15">
      <c r="B610" s="8"/>
      <c r="C610" s="27"/>
      <c r="D610" s="27"/>
      <c r="E610" s="27"/>
      <c r="F610" s="27"/>
      <c r="G610" s="27"/>
      <c r="H610" s="27"/>
      <c r="I610" s="27"/>
      <c r="J610" s="27"/>
      <c r="K610" s="27"/>
      <c r="L610" s="27"/>
      <c r="M610" s="27"/>
    </row>
    <row r="611" spans="2:13" ht="15">
      <c r="B611" s="8"/>
      <c r="C611" s="27"/>
      <c r="D611" s="27"/>
      <c r="E611" s="27"/>
      <c r="F611" s="27"/>
      <c r="G611" s="27"/>
      <c r="H611" s="27"/>
      <c r="I611" s="27"/>
      <c r="J611" s="27"/>
      <c r="K611" s="27"/>
      <c r="L611" s="27"/>
      <c r="M611" s="27"/>
    </row>
    <row r="612" spans="2:13" ht="15">
      <c r="B612" s="8"/>
      <c r="C612" s="27"/>
      <c r="D612" s="27"/>
      <c r="E612" s="27"/>
      <c r="F612" s="27"/>
      <c r="G612" s="27"/>
      <c r="H612" s="27"/>
      <c r="I612" s="27"/>
      <c r="J612" s="27"/>
      <c r="K612" s="27"/>
      <c r="L612" s="27"/>
      <c r="M612" s="27"/>
    </row>
    <row r="613" spans="2:13" ht="15">
      <c r="B613" s="8"/>
      <c r="C613" s="27"/>
      <c r="D613" s="27"/>
      <c r="E613" s="27"/>
      <c r="F613" s="27"/>
      <c r="G613" s="27"/>
      <c r="H613" s="27"/>
      <c r="I613" s="27"/>
      <c r="J613" s="27"/>
      <c r="K613" s="27"/>
      <c r="L613" s="27"/>
      <c r="M613" s="27"/>
    </row>
    <row r="614" spans="2:13" ht="15">
      <c r="B614" s="8"/>
      <c r="C614" s="27"/>
      <c r="D614" s="27"/>
      <c r="E614" s="27"/>
      <c r="F614" s="27"/>
      <c r="G614" s="27"/>
      <c r="H614" s="27"/>
      <c r="I614" s="27"/>
      <c r="J614" s="27"/>
      <c r="K614" s="27"/>
      <c r="L614" s="27"/>
      <c r="M614" s="27"/>
    </row>
    <row r="615" spans="2:13" ht="15">
      <c r="B615" s="8"/>
      <c r="C615" s="27"/>
      <c r="D615" s="27"/>
      <c r="E615" s="27"/>
      <c r="F615" s="27"/>
      <c r="G615" s="27"/>
      <c r="H615" s="27"/>
      <c r="I615" s="27"/>
      <c r="J615" s="27"/>
      <c r="K615" s="27"/>
      <c r="L615" s="27"/>
      <c r="M615" s="27"/>
    </row>
    <row r="616" spans="2:13" ht="15">
      <c r="B616" s="8"/>
      <c r="C616" s="27"/>
      <c r="D616" s="27"/>
      <c r="E616" s="27"/>
      <c r="F616" s="27"/>
      <c r="G616" s="27"/>
      <c r="H616" s="27"/>
      <c r="I616" s="27"/>
      <c r="J616" s="27"/>
      <c r="K616" s="27"/>
      <c r="L616" s="27"/>
      <c r="M616" s="27"/>
    </row>
    <row r="617" spans="2:13" ht="15">
      <c r="B617" s="8"/>
      <c r="C617" s="27"/>
      <c r="D617" s="27"/>
      <c r="E617" s="27"/>
      <c r="F617" s="27"/>
      <c r="G617" s="27"/>
      <c r="H617" s="27"/>
      <c r="I617" s="27"/>
      <c r="J617" s="27"/>
      <c r="K617" s="27"/>
      <c r="L617" s="27"/>
      <c r="M617" s="27"/>
    </row>
    <row r="618" spans="2:13" ht="15">
      <c r="B618" s="8"/>
      <c r="C618" s="27"/>
      <c r="D618" s="27"/>
      <c r="E618" s="27"/>
      <c r="F618" s="27"/>
      <c r="G618" s="27"/>
      <c r="H618" s="27"/>
      <c r="I618" s="27"/>
      <c r="J618" s="27"/>
      <c r="K618" s="27"/>
      <c r="L618" s="27"/>
      <c r="M618" s="27"/>
    </row>
    <row r="619" spans="2:13" ht="15">
      <c r="B619" s="8"/>
      <c r="C619" s="27"/>
      <c r="D619" s="27"/>
      <c r="E619" s="27"/>
      <c r="F619" s="27"/>
      <c r="G619" s="27"/>
      <c r="H619" s="27"/>
      <c r="I619" s="27"/>
      <c r="J619" s="27"/>
      <c r="K619" s="27"/>
      <c r="L619" s="27"/>
      <c r="M619" s="27"/>
    </row>
    <row r="620" spans="2:13" ht="15">
      <c r="B620" s="8"/>
      <c r="C620" s="27"/>
      <c r="D620" s="27"/>
      <c r="E620" s="27"/>
      <c r="F620" s="27"/>
      <c r="G620" s="27"/>
      <c r="H620" s="27"/>
      <c r="I620" s="27"/>
      <c r="J620" s="27"/>
      <c r="K620" s="27"/>
      <c r="L620" s="27"/>
      <c r="M620" s="27"/>
    </row>
    <row r="621" spans="2:13" ht="15">
      <c r="B621" s="8"/>
      <c r="C621" s="27"/>
      <c r="D621" s="27"/>
      <c r="E621" s="27"/>
      <c r="F621" s="27"/>
      <c r="G621" s="27"/>
      <c r="H621" s="27"/>
      <c r="I621" s="27"/>
      <c r="J621" s="27"/>
      <c r="K621" s="27"/>
      <c r="L621" s="27"/>
      <c r="M621" s="27"/>
    </row>
    <row r="622" spans="2:13" ht="15">
      <c r="B622" s="8"/>
      <c r="C622" s="27"/>
      <c r="D622" s="27"/>
      <c r="E622" s="27"/>
      <c r="F622" s="27"/>
      <c r="G622" s="27"/>
      <c r="H622" s="27"/>
      <c r="I622" s="27"/>
      <c r="J622" s="27"/>
      <c r="K622" s="27"/>
      <c r="L622" s="27"/>
      <c r="M622" s="27"/>
    </row>
    <row r="623" spans="2:13" ht="15">
      <c r="B623" s="8"/>
      <c r="C623" s="27"/>
      <c r="D623" s="27"/>
      <c r="E623" s="27"/>
      <c r="F623" s="27"/>
      <c r="G623" s="27"/>
      <c r="H623" s="27"/>
      <c r="I623" s="27"/>
      <c r="J623" s="27"/>
      <c r="K623" s="27"/>
      <c r="L623" s="27"/>
      <c r="M623" s="27"/>
    </row>
    <row r="624" spans="2:13" ht="15">
      <c r="B624" s="8"/>
      <c r="C624" s="27"/>
      <c r="D624" s="27"/>
      <c r="E624" s="27"/>
      <c r="F624" s="27"/>
      <c r="G624" s="27"/>
      <c r="H624" s="27"/>
      <c r="I624" s="27"/>
      <c r="J624" s="27"/>
      <c r="K624" s="27"/>
      <c r="L624" s="27"/>
      <c r="M624" s="27"/>
    </row>
    <row r="625" spans="2:13" ht="15">
      <c r="B625" s="8"/>
      <c r="C625" s="27"/>
      <c r="D625" s="27"/>
      <c r="E625" s="27"/>
      <c r="F625" s="27"/>
      <c r="G625" s="27"/>
      <c r="H625" s="27"/>
      <c r="I625" s="27"/>
      <c r="J625" s="27"/>
      <c r="K625" s="27"/>
      <c r="L625" s="27"/>
      <c r="M625" s="27"/>
    </row>
    <row r="626" spans="2:13" ht="15">
      <c r="B626" s="8"/>
      <c r="C626" s="27"/>
      <c r="D626" s="27"/>
      <c r="E626" s="27"/>
      <c r="F626" s="27"/>
      <c r="G626" s="27"/>
      <c r="H626" s="27"/>
      <c r="I626" s="27"/>
      <c r="J626" s="27"/>
      <c r="K626" s="27"/>
      <c r="L626" s="27"/>
      <c r="M626" s="27"/>
    </row>
    <row r="627" spans="2:13" ht="15">
      <c r="B627" s="8"/>
      <c r="C627" s="27"/>
      <c r="D627" s="27"/>
      <c r="E627" s="27"/>
      <c r="F627" s="27"/>
      <c r="G627" s="27"/>
      <c r="H627" s="27"/>
      <c r="I627" s="27"/>
      <c r="J627" s="27"/>
      <c r="K627" s="27"/>
      <c r="L627" s="27"/>
      <c r="M627" s="27"/>
    </row>
    <row r="628" spans="2:13" ht="15">
      <c r="B628" s="8"/>
      <c r="C628" s="27"/>
      <c r="D628" s="27"/>
      <c r="E628" s="27"/>
      <c r="F628" s="27"/>
      <c r="G628" s="27"/>
      <c r="H628" s="27"/>
      <c r="I628" s="27"/>
      <c r="J628" s="27"/>
      <c r="K628" s="27"/>
      <c r="L628" s="27"/>
      <c r="M628" s="27"/>
    </row>
    <row r="629" spans="2:13" ht="15">
      <c r="B629" s="8"/>
      <c r="C629" s="27"/>
      <c r="D629" s="27"/>
      <c r="E629" s="27"/>
      <c r="F629" s="27"/>
      <c r="G629" s="27"/>
      <c r="H629" s="27"/>
      <c r="I629" s="27"/>
      <c r="J629" s="27"/>
      <c r="K629" s="27"/>
      <c r="L629" s="27"/>
      <c r="M629" s="27"/>
    </row>
    <row r="630" spans="2:13" ht="15">
      <c r="B630" s="8"/>
      <c r="C630" s="27"/>
      <c r="D630" s="27"/>
      <c r="E630" s="27"/>
      <c r="F630" s="27"/>
      <c r="G630" s="27"/>
      <c r="H630" s="27"/>
      <c r="I630" s="27"/>
      <c r="J630" s="27"/>
      <c r="K630" s="27"/>
      <c r="L630" s="27"/>
      <c r="M630" s="27"/>
    </row>
    <row r="631" spans="2:13" ht="15">
      <c r="B631" s="8"/>
      <c r="C631" s="27"/>
      <c r="D631" s="27"/>
      <c r="E631" s="27"/>
      <c r="F631" s="27"/>
      <c r="G631" s="27"/>
      <c r="H631" s="27"/>
      <c r="I631" s="27"/>
      <c r="J631" s="27"/>
      <c r="K631" s="27"/>
      <c r="L631" s="27"/>
      <c r="M631" s="27"/>
    </row>
    <row r="632" spans="2:13" ht="15">
      <c r="B632" s="8"/>
      <c r="C632" s="27"/>
      <c r="D632" s="27"/>
      <c r="E632" s="27"/>
      <c r="F632" s="27"/>
      <c r="G632" s="27"/>
      <c r="H632" s="27"/>
      <c r="I632" s="27"/>
      <c r="J632" s="27"/>
      <c r="K632" s="27"/>
      <c r="L632" s="27"/>
      <c r="M632" s="27"/>
    </row>
    <row r="633" spans="2:13" ht="15">
      <c r="B633" s="8"/>
      <c r="C633" s="27"/>
      <c r="D633" s="27"/>
      <c r="E633" s="27"/>
      <c r="F633" s="27"/>
      <c r="G633" s="27"/>
      <c r="H633" s="27"/>
      <c r="I633" s="27"/>
      <c r="J633" s="27"/>
      <c r="K633" s="27"/>
      <c r="L633" s="27"/>
      <c r="M633" s="27"/>
    </row>
    <row r="634" spans="2:13" ht="15">
      <c r="B634" s="8"/>
      <c r="C634" s="27"/>
      <c r="D634" s="27"/>
      <c r="E634" s="27"/>
      <c r="F634" s="27"/>
      <c r="G634" s="27"/>
      <c r="H634" s="27"/>
      <c r="I634" s="27"/>
      <c r="J634" s="27"/>
      <c r="K634" s="27"/>
      <c r="L634" s="27"/>
      <c r="M634" s="27"/>
    </row>
    <row r="635" spans="2:13" ht="15">
      <c r="B635" s="8"/>
      <c r="C635" s="27"/>
      <c r="D635" s="27"/>
      <c r="E635" s="27"/>
      <c r="F635" s="27"/>
      <c r="G635" s="27"/>
      <c r="H635" s="27"/>
      <c r="I635" s="27"/>
      <c r="J635" s="27"/>
      <c r="K635" s="27"/>
      <c r="L635" s="27"/>
      <c r="M635" s="27"/>
    </row>
    <row r="636" spans="2:13" ht="15">
      <c r="B636" s="8"/>
      <c r="C636" s="27"/>
      <c r="D636" s="27"/>
      <c r="E636" s="27"/>
      <c r="F636" s="27"/>
      <c r="G636" s="27"/>
      <c r="H636" s="27"/>
      <c r="I636" s="27"/>
      <c r="J636" s="27"/>
      <c r="K636" s="27"/>
      <c r="L636" s="27"/>
      <c r="M636" s="27"/>
    </row>
    <row r="637" spans="2:13" ht="15">
      <c r="B637" s="8"/>
      <c r="C637" s="27"/>
      <c r="D637" s="27"/>
      <c r="E637" s="27"/>
      <c r="F637" s="27"/>
      <c r="G637" s="27"/>
      <c r="H637" s="27"/>
      <c r="I637" s="27"/>
      <c r="J637" s="27"/>
      <c r="K637" s="27"/>
      <c r="L637" s="27"/>
      <c r="M637" s="27"/>
    </row>
    <row r="638" spans="2:13" ht="15">
      <c r="B638" s="8"/>
      <c r="C638" s="27"/>
      <c r="D638" s="27"/>
      <c r="E638" s="27"/>
      <c r="F638" s="27"/>
      <c r="G638" s="27"/>
      <c r="H638" s="27"/>
      <c r="I638" s="27"/>
      <c r="J638" s="27"/>
      <c r="K638" s="27"/>
      <c r="L638" s="27"/>
      <c r="M638" s="27"/>
    </row>
    <row r="639" spans="2:13" ht="15">
      <c r="B639" s="8"/>
      <c r="C639" s="27"/>
      <c r="D639" s="27"/>
      <c r="E639" s="27"/>
      <c r="F639" s="27"/>
      <c r="G639" s="27"/>
      <c r="H639" s="27"/>
      <c r="I639" s="27"/>
      <c r="J639" s="27"/>
      <c r="K639" s="27"/>
      <c r="L639" s="27"/>
      <c r="M639" s="27"/>
    </row>
    <row r="640" spans="2:13" ht="15">
      <c r="B640" s="8"/>
      <c r="C640" s="27"/>
      <c r="D640" s="27"/>
      <c r="E640" s="27"/>
      <c r="F640" s="27"/>
      <c r="G640" s="27"/>
      <c r="H640" s="27"/>
      <c r="I640" s="27"/>
      <c r="J640" s="27"/>
      <c r="K640" s="27"/>
      <c r="L640" s="27"/>
      <c r="M640" s="27"/>
    </row>
    <row r="641" spans="2:13" ht="15">
      <c r="B641" s="8"/>
      <c r="C641" s="27"/>
      <c r="D641" s="27"/>
      <c r="E641" s="27"/>
      <c r="F641" s="27"/>
      <c r="G641" s="27"/>
      <c r="H641" s="27"/>
      <c r="I641" s="27"/>
      <c r="J641" s="27"/>
      <c r="K641" s="27"/>
      <c r="L641" s="27"/>
      <c r="M641" s="27"/>
    </row>
    <row r="642" spans="2:13" ht="15">
      <c r="B642" s="8"/>
      <c r="C642" s="27"/>
      <c r="D642" s="27"/>
      <c r="E642" s="27"/>
      <c r="F642" s="27"/>
      <c r="G642" s="27"/>
      <c r="H642" s="27"/>
      <c r="I642" s="27"/>
      <c r="J642" s="27"/>
      <c r="K642" s="27"/>
      <c r="L642" s="27"/>
      <c r="M642" s="27"/>
    </row>
    <row r="643" spans="2:13" ht="15">
      <c r="B643" s="8"/>
      <c r="C643" s="27"/>
      <c r="D643" s="27"/>
      <c r="E643" s="27"/>
      <c r="F643" s="27"/>
      <c r="G643" s="27"/>
      <c r="H643" s="27"/>
      <c r="I643" s="27"/>
      <c r="J643" s="27"/>
      <c r="K643" s="27"/>
      <c r="L643" s="27"/>
      <c r="M643" s="27"/>
    </row>
    <row r="644" spans="2:13" ht="15">
      <c r="B644" s="8"/>
      <c r="C644" s="27"/>
      <c r="D644" s="27"/>
      <c r="E644" s="27"/>
      <c r="F644" s="27"/>
      <c r="G644" s="27"/>
      <c r="H644" s="27"/>
      <c r="I644" s="27"/>
      <c r="J644" s="27"/>
      <c r="K644" s="27"/>
      <c r="L644" s="27"/>
      <c r="M644" s="27"/>
    </row>
    <row r="645" spans="2:13" ht="15">
      <c r="B645" s="8"/>
      <c r="C645" s="27"/>
      <c r="D645" s="27"/>
      <c r="E645" s="27"/>
      <c r="F645" s="27"/>
      <c r="G645" s="27"/>
      <c r="H645" s="27"/>
      <c r="I645" s="27"/>
      <c r="J645" s="27"/>
      <c r="K645" s="27"/>
      <c r="L645" s="27"/>
      <c r="M645" s="27"/>
    </row>
    <row r="646" spans="2:13" ht="15">
      <c r="B646" s="8"/>
      <c r="C646" s="27"/>
      <c r="D646" s="27"/>
      <c r="E646" s="27"/>
      <c r="F646" s="27"/>
      <c r="G646" s="27"/>
      <c r="H646" s="27"/>
      <c r="I646" s="27"/>
      <c r="J646" s="27"/>
      <c r="K646" s="27"/>
      <c r="L646" s="27"/>
      <c r="M646" s="27"/>
    </row>
    <row r="647" spans="2:13" ht="15">
      <c r="B647" s="8"/>
      <c r="C647" s="27"/>
      <c r="D647" s="27"/>
      <c r="E647" s="27"/>
      <c r="F647" s="27"/>
      <c r="G647" s="27"/>
      <c r="H647" s="27"/>
      <c r="I647" s="27"/>
      <c r="J647" s="27"/>
      <c r="K647" s="27"/>
      <c r="L647" s="27"/>
      <c r="M647" s="27"/>
    </row>
    <row r="648" spans="2:13" ht="15">
      <c r="B648" s="8"/>
      <c r="C648" s="27"/>
      <c r="D648" s="27"/>
      <c r="E648" s="27"/>
      <c r="F648" s="27"/>
      <c r="G648" s="27"/>
      <c r="H648" s="27"/>
      <c r="I648" s="27"/>
      <c r="J648" s="27"/>
      <c r="K648" s="27"/>
      <c r="L648" s="27"/>
      <c r="M648" s="27"/>
    </row>
    <row r="649" spans="2:13" ht="15">
      <c r="B649" s="8"/>
      <c r="C649" s="27"/>
      <c r="D649" s="27"/>
      <c r="E649" s="27"/>
      <c r="F649" s="27"/>
      <c r="G649" s="27"/>
      <c r="H649" s="27"/>
      <c r="I649" s="27"/>
      <c r="J649" s="27"/>
      <c r="K649" s="27"/>
      <c r="L649" s="27"/>
      <c r="M649" s="27"/>
    </row>
    <row r="650" spans="2:13" ht="15">
      <c r="B650" s="8"/>
      <c r="C650" s="27"/>
      <c r="D650" s="27"/>
      <c r="E650" s="27"/>
      <c r="F650" s="27"/>
      <c r="G650" s="27"/>
      <c r="H650" s="27"/>
      <c r="I650" s="27"/>
      <c r="J650" s="27"/>
      <c r="K650" s="27"/>
      <c r="L650" s="27"/>
      <c r="M650" s="27"/>
    </row>
    <row r="651" spans="2:13" ht="15">
      <c r="B651" s="8"/>
      <c r="C651" s="27"/>
      <c r="D651" s="27"/>
      <c r="E651" s="27"/>
      <c r="F651" s="27"/>
      <c r="G651" s="27"/>
      <c r="H651" s="27"/>
      <c r="I651" s="27"/>
      <c r="J651" s="27"/>
      <c r="K651" s="27"/>
      <c r="L651" s="27"/>
      <c r="M651" s="27"/>
    </row>
    <row r="652" spans="2:13" ht="15">
      <c r="B652" s="8"/>
      <c r="C652" s="27"/>
      <c r="D652" s="27"/>
      <c r="E652" s="27"/>
      <c r="F652" s="27"/>
      <c r="G652" s="27"/>
      <c r="H652" s="27"/>
      <c r="I652" s="27"/>
      <c r="J652" s="27"/>
      <c r="K652" s="27"/>
      <c r="L652" s="27"/>
      <c r="M652" s="27"/>
    </row>
    <row r="653" spans="2:13" ht="15">
      <c r="B653" s="8"/>
      <c r="C653" s="27"/>
      <c r="D653" s="27"/>
      <c r="E653" s="27"/>
      <c r="F653" s="27"/>
      <c r="G653" s="27"/>
      <c r="H653" s="27"/>
      <c r="I653" s="27"/>
      <c r="J653" s="27"/>
      <c r="K653" s="27"/>
      <c r="L653" s="27"/>
      <c r="M653" s="27"/>
    </row>
    <row r="654" spans="2:13" ht="15">
      <c r="B654" s="8"/>
      <c r="C654" s="27"/>
      <c r="D654" s="27"/>
      <c r="E654" s="27"/>
      <c r="F654" s="27"/>
      <c r="G654" s="27"/>
      <c r="H654" s="27"/>
      <c r="I654" s="27"/>
      <c r="J654" s="27"/>
      <c r="K654" s="27"/>
      <c r="L654" s="27"/>
      <c r="M654" s="27"/>
    </row>
    <row r="655" spans="2:13" ht="15">
      <c r="B655" s="8"/>
      <c r="C655" s="27"/>
      <c r="D655" s="27"/>
      <c r="E655" s="27"/>
      <c r="F655" s="27"/>
      <c r="G655" s="27"/>
      <c r="H655" s="27"/>
      <c r="I655" s="27"/>
      <c r="J655" s="27"/>
      <c r="K655" s="27"/>
      <c r="L655" s="27"/>
      <c r="M655" s="27"/>
    </row>
    <row r="656" spans="2:13" ht="15">
      <c r="B656" s="8"/>
      <c r="C656" s="27"/>
      <c r="D656" s="27"/>
      <c r="E656" s="27"/>
      <c r="F656" s="27"/>
      <c r="G656" s="27"/>
      <c r="H656" s="27"/>
      <c r="I656" s="27"/>
      <c r="J656" s="27"/>
      <c r="K656" s="27"/>
      <c r="L656" s="27"/>
      <c r="M656" s="27"/>
    </row>
    <row r="657" spans="2:13" ht="15">
      <c r="B657" s="8"/>
      <c r="C657" s="27"/>
      <c r="D657" s="27"/>
      <c r="E657" s="27"/>
      <c r="F657" s="27"/>
      <c r="G657" s="27"/>
      <c r="H657" s="27"/>
      <c r="I657" s="27"/>
      <c r="J657" s="27"/>
      <c r="K657" s="27"/>
      <c r="L657" s="27"/>
      <c r="M657" s="27"/>
    </row>
    <row r="658" spans="2:13" ht="15">
      <c r="B658" s="8"/>
      <c r="C658" s="27"/>
      <c r="D658" s="27"/>
      <c r="E658" s="27"/>
      <c r="F658" s="27"/>
      <c r="G658" s="27"/>
      <c r="H658" s="27"/>
      <c r="I658" s="27"/>
      <c r="J658" s="27"/>
      <c r="K658" s="27"/>
      <c r="L658" s="27"/>
      <c r="M658" s="27"/>
    </row>
    <row r="659" spans="2:13" ht="15">
      <c r="B659" s="8"/>
      <c r="C659" s="27"/>
      <c r="D659" s="27"/>
      <c r="E659" s="27"/>
      <c r="F659" s="27"/>
      <c r="G659" s="27"/>
      <c r="H659" s="27"/>
      <c r="I659" s="27"/>
      <c r="J659" s="27"/>
      <c r="K659" s="27"/>
      <c r="L659" s="27"/>
      <c r="M659" s="27"/>
    </row>
    <row r="660" spans="2:13" ht="15">
      <c r="B660" s="8"/>
      <c r="C660" s="27"/>
      <c r="D660" s="27"/>
      <c r="E660" s="27"/>
      <c r="F660" s="27"/>
      <c r="G660" s="27"/>
      <c r="H660" s="27"/>
      <c r="I660" s="27"/>
      <c r="J660" s="27"/>
      <c r="K660" s="27"/>
      <c r="L660" s="27"/>
      <c r="M660" s="27"/>
    </row>
    <row r="661" spans="2:13" ht="15">
      <c r="B661" s="8"/>
      <c r="C661" s="27"/>
      <c r="D661" s="27"/>
      <c r="E661" s="27"/>
      <c r="F661" s="27"/>
      <c r="G661" s="27"/>
      <c r="H661" s="27"/>
      <c r="I661" s="27"/>
      <c r="J661" s="27"/>
      <c r="K661" s="27"/>
      <c r="L661" s="27"/>
      <c r="M661" s="27"/>
    </row>
    <row r="662" spans="2:13" ht="15">
      <c r="B662" s="8"/>
      <c r="C662" s="27"/>
      <c r="D662" s="27"/>
      <c r="E662" s="27"/>
      <c r="F662" s="27"/>
      <c r="G662" s="27"/>
      <c r="H662" s="27"/>
      <c r="I662" s="27"/>
      <c r="J662" s="27"/>
      <c r="K662" s="27"/>
      <c r="L662" s="27"/>
      <c r="M662" s="27"/>
    </row>
    <row r="663" spans="2:13" ht="15">
      <c r="B663" s="8"/>
      <c r="C663" s="27"/>
      <c r="D663" s="27"/>
      <c r="E663" s="27"/>
      <c r="F663" s="27"/>
      <c r="G663" s="27"/>
      <c r="H663" s="27"/>
      <c r="I663" s="27"/>
      <c r="J663" s="27"/>
      <c r="K663" s="27"/>
      <c r="L663" s="27"/>
      <c r="M663" s="27"/>
    </row>
    <row r="664" spans="2:13" ht="15">
      <c r="B664" s="8"/>
      <c r="C664" s="27"/>
      <c r="D664" s="27"/>
      <c r="E664" s="27"/>
      <c r="F664" s="27"/>
      <c r="G664" s="27"/>
      <c r="H664" s="27"/>
      <c r="I664" s="27"/>
      <c r="J664" s="27"/>
      <c r="K664" s="27"/>
      <c r="L664" s="27"/>
      <c r="M664" s="27"/>
    </row>
    <row r="665" spans="2:13" ht="15">
      <c r="B665" s="8"/>
      <c r="C665" s="27"/>
      <c r="D665" s="27"/>
      <c r="E665" s="27"/>
      <c r="F665" s="27"/>
      <c r="G665" s="27"/>
      <c r="H665" s="27"/>
      <c r="I665" s="27"/>
      <c r="J665" s="27"/>
      <c r="K665" s="27"/>
      <c r="L665" s="27"/>
      <c r="M665" s="27"/>
    </row>
    <row r="666" spans="2:13" ht="15">
      <c r="B666" s="8"/>
      <c r="C666" s="27"/>
      <c r="D666" s="27"/>
      <c r="E666" s="27"/>
      <c r="F666" s="27"/>
      <c r="G666" s="27"/>
      <c r="H666" s="27"/>
      <c r="I666" s="27"/>
      <c r="J666" s="27"/>
      <c r="K666" s="27"/>
      <c r="L666" s="27"/>
      <c r="M666" s="27"/>
    </row>
    <row r="667" spans="2:13" ht="15">
      <c r="B667" s="8"/>
      <c r="C667" s="27"/>
      <c r="D667" s="27"/>
      <c r="E667" s="27"/>
      <c r="F667" s="27"/>
      <c r="G667" s="27"/>
      <c r="H667" s="27"/>
      <c r="I667" s="27"/>
      <c r="J667" s="27"/>
      <c r="K667" s="27"/>
      <c r="L667" s="27"/>
      <c r="M667" s="27"/>
    </row>
    <row r="668" spans="2:13" ht="15">
      <c r="B668" s="8"/>
      <c r="C668" s="27"/>
      <c r="D668" s="27"/>
      <c r="E668" s="27"/>
      <c r="F668" s="27"/>
      <c r="G668" s="27"/>
      <c r="H668" s="27"/>
      <c r="I668" s="27"/>
      <c r="J668" s="27"/>
      <c r="K668" s="27"/>
      <c r="L668" s="27"/>
      <c r="M668" s="27"/>
    </row>
    <row r="669" spans="2:13" ht="15">
      <c r="B669" s="8"/>
      <c r="C669" s="27"/>
      <c r="D669" s="27"/>
      <c r="E669" s="27"/>
      <c r="F669" s="27"/>
      <c r="G669" s="27"/>
      <c r="H669" s="27"/>
      <c r="I669" s="27"/>
      <c r="J669" s="27"/>
      <c r="K669" s="27"/>
      <c r="L669" s="27"/>
      <c r="M669" s="27"/>
    </row>
    <row r="670" spans="2:13" ht="15">
      <c r="B670" s="8"/>
      <c r="C670" s="27"/>
      <c r="D670" s="27"/>
      <c r="E670" s="27"/>
      <c r="F670" s="27"/>
      <c r="G670" s="27"/>
      <c r="H670" s="27"/>
      <c r="I670" s="27"/>
      <c r="J670" s="27"/>
      <c r="K670" s="27"/>
      <c r="L670" s="27"/>
      <c r="M670" s="27"/>
    </row>
    <row r="671" spans="2:13" ht="15">
      <c r="B671" s="8"/>
      <c r="C671" s="27"/>
      <c r="D671" s="27"/>
      <c r="E671" s="27"/>
      <c r="F671" s="27"/>
      <c r="G671" s="27"/>
      <c r="H671" s="27"/>
      <c r="I671" s="27"/>
      <c r="J671" s="27"/>
      <c r="K671" s="27"/>
      <c r="L671" s="27"/>
      <c r="M671" s="27"/>
    </row>
    <row r="672" spans="2:13" ht="15">
      <c r="B672" s="8"/>
      <c r="C672" s="27"/>
      <c r="D672" s="27"/>
      <c r="E672" s="27"/>
      <c r="F672" s="27"/>
      <c r="G672" s="27"/>
      <c r="H672" s="27"/>
      <c r="I672" s="27"/>
      <c r="J672" s="27"/>
      <c r="K672" s="27"/>
      <c r="L672" s="27"/>
      <c r="M672" s="27"/>
    </row>
    <row r="673" spans="2:13" ht="15">
      <c r="B673" s="8"/>
      <c r="C673" s="27"/>
      <c r="D673" s="27"/>
      <c r="E673" s="27"/>
      <c r="F673" s="27"/>
      <c r="G673" s="27"/>
      <c r="H673" s="27"/>
      <c r="I673" s="27"/>
      <c r="J673" s="27"/>
      <c r="K673" s="27"/>
      <c r="L673" s="27"/>
      <c r="M673" s="27"/>
    </row>
    <row r="674" spans="2:13" ht="15">
      <c r="B674" s="8"/>
      <c r="C674" s="27"/>
      <c r="D674" s="27"/>
      <c r="E674" s="27"/>
      <c r="F674" s="27"/>
      <c r="G674" s="27"/>
      <c r="H674" s="27"/>
      <c r="I674" s="27"/>
      <c r="J674" s="27"/>
      <c r="K674" s="27"/>
      <c r="L674" s="27"/>
      <c r="M674" s="27"/>
    </row>
    <row r="675" spans="2:13" ht="15">
      <c r="B675" s="8"/>
      <c r="C675" s="27"/>
      <c r="D675" s="27"/>
      <c r="E675" s="27"/>
      <c r="F675" s="27"/>
      <c r="G675" s="27"/>
      <c r="H675" s="27"/>
      <c r="I675" s="27"/>
      <c r="J675" s="27"/>
      <c r="K675" s="27"/>
      <c r="L675" s="27"/>
      <c r="M675" s="27"/>
    </row>
    <row r="676" spans="2:13" ht="15">
      <c r="B676" s="8"/>
      <c r="C676" s="27"/>
      <c r="D676" s="27"/>
      <c r="E676" s="27"/>
      <c r="F676" s="27"/>
      <c r="G676" s="27"/>
      <c r="H676" s="27"/>
      <c r="I676" s="27"/>
      <c r="J676" s="27"/>
      <c r="K676" s="27"/>
      <c r="L676" s="27"/>
      <c r="M676" s="27"/>
    </row>
    <row r="677" spans="2:13" ht="15">
      <c r="B677" s="8"/>
      <c r="C677" s="27"/>
      <c r="D677" s="27"/>
      <c r="E677" s="27"/>
      <c r="F677" s="27"/>
      <c r="G677" s="27"/>
      <c r="H677" s="27"/>
      <c r="I677" s="27"/>
      <c r="J677" s="27"/>
      <c r="K677" s="27"/>
      <c r="L677" s="27"/>
      <c r="M677" s="27"/>
    </row>
    <row r="678" spans="2:13" ht="15">
      <c r="B678" s="8"/>
      <c r="C678" s="27"/>
      <c r="D678" s="27"/>
      <c r="E678" s="27"/>
      <c r="F678" s="27"/>
      <c r="G678" s="27"/>
      <c r="H678" s="27"/>
      <c r="I678" s="27"/>
      <c r="J678" s="27"/>
      <c r="K678" s="27"/>
      <c r="L678" s="27"/>
      <c r="M678" s="27"/>
    </row>
    <row r="679" spans="2:13" ht="15">
      <c r="B679" s="8"/>
      <c r="C679" s="27"/>
      <c r="D679" s="27"/>
      <c r="E679" s="27"/>
      <c r="F679" s="27"/>
      <c r="G679" s="27"/>
      <c r="H679" s="27"/>
      <c r="I679" s="27"/>
      <c r="J679" s="27"/>
      <c r="K679" s="27"/>
      <c r="L679" s="27"/>
      <c r="M679" s="27"/>
    </row>
    <row r="680" spans="2:13" ht="15">
      <c r="B680" s="8"/>
      <c r="C680" s="27"/>
      <c r="D680" s="27"/>
      <c r="E680" s="27"/>
      <c r="F680" s="27"/>
      <c r="G680" s="27"/>
      <c r="H680" s="27"/>
      <c r="I680" s="27"/>
      <c r="J680" s="27"/>
      <c r="K680" s="27"/>
      <c r="L680" s="27"/>
      <c r="M680" s="27"/>
    </row>
    <row r="681" spans="2:13" ht="15">
      <c r="B681" s="8"/>
      <c r="C681" s="27"/>
      <c r="D681" s="27"/>
      <c r="E681" s="27"/>
      <c r="F681" s="27"/>
      <c r="G681" s="27"/>
      <c r="H681" s="27"/>
      <c r="I681" s="27"/>
      <c r="J681" s="27"/>
      <c r="K681" s="27"/>
      <c r="L681" s="27"/>
      <c r="M681" s="27"/>
    </row>
    <row r="682" spans="2:13" ht="15">
      <c r="B682" s="8"/>
      <c r="C682" s="27"/>
      <c r="D682" s="27"/>
      <c r="E682" s="27"/>
      <c r="F682" s="27"/>
      <c r="G682" s="27"/>
      <c r="H682" s="27"/>
      <c r="I682" s="27"/>
      <c r="J682" s="27"/>
      <c r="K682" s="27"/>
      <c r="L682" s="27"/>
      <c r="M682" s="27"/>
    </row>
    <row r="683" spans="2:13" ht="15">
      <c r="B683" s="8"/>
      <c r="C683" s="27"/>
      <c r="D683" s="27"/>
      <c r="E683" s="27"/>
      <c r="F683" s="27"/>
      <c r="G683" s="27"/>
      <c r="H683" s="27"/>
      <c r="I683" s="27"/>
      <c r="J683" s="27"/>
      <c r="K683" s="27"/>
      <c r="L683" s="27"/>
      <c r="M683" s="27"/>
    </row>
    <row r="684" spans="2:13" ht="15">
      <c r="B684" s="8"/>
      <c r="C684" s="27"/>
      <c r="D684" s="27"/>
      <c r="E684" s="27"/>
      <c r="F684" s="27"/>
      <c r="G684" s="27"/>
      <c r="H684" s="27"/>
      <c r="I684" s="27"/>
      <c r="J684" s="27"/>
      <c r="K684" s="27"/>
      <c r="L684" s="27"/>
      <c r="M684" s="27"/>
    </row>
    <row r="685" spans="2:13" ht="15">
      <c r="B685" s="8"/>
      <c r="C685" s="27"/>
      <c r="D685" s="27"/>
      <c r="E685" s="27"/>
      <c r="F685" s="27"/>
      <c r="G685" s="27"/>
      <c r="H685" s="27"/>
      <c r="I685" s="27"/>
      <c r="J685" s="27"/>
      <c r="K685" s="27"/>
      <c r="L685" s="27"/>
      <c r="M685" s="27"/>
    </row>
    <row r="686" spans="2:13" ht="15">
      <c r="B686" s="8"/>
      <c r="C686" s="27"/>
      <c r="D686" s="27"/>
      <c r="E686" s="27"/>
      <c r="F686" s="27"/>
      <c r="G686" s="27"/>
      <c r="H686" s="27"/>
      <c r="I686" s="27"/>
      <c r="J686" s="27"/>
      <c r="K686" s="27"/>
      <c r="L686" s="27"/>
      <c r="M686" s="27"/>
    </row>
    <row r="687" spans="2:13" ht="15">
      <c r="B687" s="8"/>
      <c r="C687" s="27"/>
      <c r="D687" s="27"/>
      <c r="E687" s="27"/>
      <c r="F687" s="27"/>
      <c r="G687" s="27"/>
      <c r="H687" s="27"/>
      <c r="I687" s="27"/>
      <c r="J687" s="27"/>
      <c r="K687" s="27"/>
      <c r="L687" s="27"/>
      <c r="M687" s="27"/>
    </row>
    <row r="688" spans="2:13" ht="15">
      <c r="B688" s="8"/>
      <c r="C688" s="27"/>
      <c r="D688" s="27"/>
      <c r="E688" s="27"/>
      <c r="F688" s="27"/>
      <c r="G688" s="27"/>
      <c r="H688" s="27"/>
      <c r="I688" s="27"/>
      <c r="J688" s="27"/>
      <c r="K688" s="27"/>
      <c r="L688" s="27"/>
      <c r="M688" s="27"/>
    </row>
    <row r="689" spans="2:13" ht="15">
      <c r="B689" s="8"/>
      <c r="C689" s="27"/>
      <c r="D689" s="27"/>
      <c r="E689" s="27"/>
      <c r="F689" s="27"/>
      <c r="G689" s="27"/>
      <c r="H689" s="27"/>
      <c r="I689" s="27"/>
      <c r="J689" s="27"/>
      <c r="K689" s="27"/>
      <c r="L689" s="27"/>
      <c r="M689" s="27"/>
    </row>
    <row r="690" spans="2:13" ht="15">
      <c r="B690" s="8"/>
      <c r="C690" s="27"/>
      <c r="D690" s="27"/>
      <c r="E690" s="27"/>
      <c r="F690" s="27"/>
      <c r="G690" s="27"/>
      <c r="H690" s="27"/>
      <c r="I690" s="27"/>
      <c r="J690" s="27"/>
      <c r="K690" s="27"/>
      <c r="L690" s="27"/>
      <c r="M690" s="27"/>
    </row>
    <row r="691" spans="2:13" ht="15">
      <c r="B691" s="8"/>
      <c r="C691" s="27"/>
      <c r="D691" s="27"/>
      <c r="E691" s="27"/>
      <c r="F691" s="27"/>
      <c r="G691" s="27"/>
      <c r="H691" s="27"/>
      <c r="I691" s="27"/>
      <c r="J691" s="27"/>
      <c r="K691" s="27"/>
      <c r="L691" s="27"/>
      <c r="M691" s="27"/>
    </row>
    <row r="692" spans="2:13" ht="15">
      <c r="B692" s="8"/>
      <c r="C692" s="27"/>
      <c r="D692" s="27"/>
      <c r="E692" s="27"/>
      <c r="F692" s="27"/>
      <c r="G692" s="27"/>
      <c r="H692" s="27"/>
      <c r="I692" s="27"/>
      <c r="J692" s="27"/>
      <c r="K692" s="27"/>
      <c r="L692" s="27"/>
      <c r="M692" s="27"/>
    </row>
    <row r="693" spans="2:13" ht="15">
      <c r="B693" s="8"/>
      <c r="C693" s="27"/>
      <c r="D693" s="27"/>
      <c r="E693" s="27"/>
      <c r="F693" s="27"/>
      <c r="G693" s="27"/>
      <c r="H693" s="27"/>
      <c r="I693" s="27"/>
      <c r="J693" s="27"/>
      <c r="K693" s="27"/>
      <c r="L693" s="27"/>
      <c r="M693" s="27"/>
    </row>
    <row r="694" spans="2:13" ht="15">
      <c r="B694" s="8"/>
      <c r="C694" s="27"/>
      <c r="D694" s="27"/>
      <c r="E694" s="27"/>
      <c r="F694" s="27"/>
      <c r="G694" s="27"/>
      <c r="H694" s="27"/>
      <c r="I694" s="27"/>
      <c r="J694" s="27"/>
      <c r="K694" s="27"/>
      <c r="L694" s="27"/>
      <c r="M694" s="27"/>
    </row>
    <row r="695" spans="2:13" ht="15">
      <c r="B695" s="8"/>
      <c r="C695" s="27"/>
      <c r="D695" s="27"/>
      <c r="E695" s="27"/>
      <c r="F695" s="27"/>
      <c r="G695" s="27"/>
      <c r="H695" s="27"/>
      <c r="I695" s="27"/>
      <c r="J695" s="27"/>
      <c r="K695" s="27"/>
      <c r="L695" s="27"/>
      <c r="M695" s="27"/>
    </row>
    <row r="696" spans="2:13" ht="15">
      <c r="B696" s="8"/>
      <c r="C696" s="27"/>
      <c r="D696" s="27"/>
      <c r="E696" s="27"/>
      <c r="F696" s="27"/>
      <c r="G696" s="27"/>
      <c r="H696" s="27"/>
      <c r="I696" s="27"/>
      <c r="J696" s="27"/>
      <c r="K696" s="27"/>
      <c r="L696" s="27"/>
      <c r="M696" s="27"/>
    </row>
    <row r="697" spans="2:13" ht="15">
      <c r="B697" s="8"/>
      <c r="C697" s="27"/>
      <c r="D697" s="27"/>
      <c r="E697" s="27"/>
      <c r="F697" s="27"/>
      <c r="G697" s="27"/>
      <c r="H697" s="27"/>
      <c r="I697" s="27"/>
      <c r="J697" s="27"/>
      <c r="K697" s="27"/>
      <c r="L697" s="27"/>
      <c r="M697" s="27"/>
    </row>
    <row r="698" spans="2:13" ht="15">
      <c r="B698" s="8"/>
      <c r="C698" s="27"/>
      <c r="D698" s="27"/>
      <c r="E698" s="27"/>
      <c r="F698" s="27"/>
      <c r="G698" s="27"/>
      <c r="H698" s="27"/>
      <c r="I698" s="27"/>
      <c r="J698" s="27"/>
      <c r="K698" s="27"/>
      <c r="L698" s="27"/>
      <c r="M698" s="27"/>
    </row>
    <row r="699" spans="2:13" ht="15">
      <c r="B699" s="8"/>
      <c r="C699" s="27"/>
      <c r="D699" s="27"/>
      <c r="E699" s="27"/>
      <c r="F699" s="27"/>
      <c r="G699" s="27"/>
      <c r="H699" s="27"/>
      <c r="I699" s="27"/>
      <c r="J699" s="27"/>
      <c r="K699" s="27"/>
      <c r="L699" s="27"/>
      <c r="M699" s="27"/>
    </row>
    <row r="700" spans="2:13" ht="15">
      <c r="B700" s="8"/>
      <c r="C700" s="27"/>
      <c r="D700" s="27"/>
      <c r="E700" s="27"/>
      <c r="F700" s="27"/>
      <c r="G700" s="27"/>
      <c r="H700" s="27"/>
      <c r="I700" s="27"/>
      <c r="J700" s="27"/>
      <c r="K700" s="27"/>
      <c r="L700" s="27"/>
      <c r="M700" s="27"/>
    </row>
    <row r="701" spans="2:13" ht="15">
      <c r="B701" s="8"/>
      <c r="C701" s="27"/>
      <c r="D701" s="27"/>
      <c r="E701" s="27"/>
      <c r="F701" s="27"/>
      <c r="G701" s="27"/>
      <c r="H701" s="27"/>
      <c r="I701" s="27"/>
      <c r="J701" s="27"/>
      <c r="K701" s="27"/>
      <c r="L701" s="27"/>
      <c r="M701" s="27"/>
    </row>
    <row r="702" spans="2:13" ht="15">
      <c r="B702" s="8"/>
      <c r="C702" s="27"/>
      <c r="D702" s="27"/>
      <c r="E702" s="27"/>
      <c r="F702" s="27"/>
      <c r="G702" s="27"/>
      <c r="H702" s="27"/>
      <c r="I702" s="27"/>
      <c r="J702" s="27"/>
      <c r="K702" s="27"/>
      <c r="L702" s="27"/>
      <c r="M702" s="27"/>
    </row>
    <row r="703" spans="2:13" ht="15">
      <c r="B703" s="8"/>
      <c r="C703" s="27"/>
      <c r="D703" s="27"/>
      <c r="E703" s="27"/>
      <c r="F703" s="27"/>
      <c r="G703" s="27"/>
      <c r="H703" s="27"/>
      <c r="I703" s="27"/>
      <c r="J703" s="27"/>
      <c r="K703" s="27"/>
      <c r="L703" s="27"/>
      <c r="M703" s="27"/>
    </row>
    <row r="704" spans="2:13" ht="15">
      <c r="B704" s="8"/>
      <c r="C704" s="27"/>
      <c r="D704" s="27"/>
      <c r="E704" s="27"/>
      <c r="F704" s="27"/>
      <c r="G704" s="27"/>
      <c r="H704" s="27"/>
      <c r="I704" s="27"/>
      <c r="J704" s="27"/>
      <c r="K704" s="27"/>
      <c r="L704" s="27"/>
      <c r="M704" s="27"/>
    </row>
    <row r="705" spans="2:13" ht="15">
      <c r="B705" s="8"/>
      <c r="C705" s="27"/>
      <c r="D705" s="27"/>
      <c r="E705" s="27"/>
      <c r="F705" s="27"/>
      <c r="G705" s="27"/>
      <c r="H705" s="27"/>
      <c r="I705" s="27"/>
      <c r="J705" s="27"/>
      <c r="K705" s="27"/>
      <c r="L705" s="27"/>
      <c r="M705" s="27"/>
    </row>
    <row r="706" spans="2:13" ht="15">
      <c r="B706" s="8"/>
      <c r="C706" s="27"/>
      <c r="D706" s="27"/>
      <c r="E706" s="27"/>
      <c r="F706" s="27"/>
      <c r="G706" s="27"/>
      <c r="H706" s="27"/>
      <c r="I706" s="27"/>
      <c r="J706" s="27"/>
      <c r="K706" s="27"/>
      <c r="L706" s="27"/>
      <c r="M706" s="27"/>
    </row>
    <row r="707" spans="2:13" ht="15">
      <c r="B707" s="8"/>
      <c r="C707" s="27"/>
      <c r="D707" s="27"/>
      <c r="E707" s="27"/>
      <c r="F707" s="27"/>
      <c r="G707" s="27"/>
      <c r="H707" s="27"/>
      <c r="I707" s="27"/>
      <c r="J707" s="27"/>
      <c r="K707" s="27"/>
      <c r="L707" s="27"/>
      <c r="M707" s="27"/>
    </row>
    <row r="708" spans="2:13" ht="15">
      <c r="B708" s="8"/>
      <c r="C708" s="27"/>
      <c r="D708" s="27"/>
      <c r="E708" s="27"/>
      <c r="F708" s="27"/>
      <c r="G708" s="27"/>
      <c r="H708" s="27"/>
      <c r="I708" s="27"/>
      <c r="J708" s="27"/>
      <c r="K708" s="27"/>
      <c r="L708" s="27"/>
      <c r="M708" s="27"/>
    </row>
    <row r="709" spans="2:13" ht="15">
      <c r="B709" s="8"/>
      <c r="C709" s="27"/>
      <c r="D709" s="27"/>
      <c r="E709" s="27"/>
      <c r="F709" s="27"/>
      <c r="G709" s="27"/>
      <c r="H709" s="27"/>
      <c r="I709" s="27"/>
      <c r="J709" s="27"/>
      <c r="K709" s="27"/>
      <c r="L709" s="27"/>
      <c r="M709" s="27"/>
    </row>
    <row r="710" spans="2:13" ht="15">
      <c r="B710" s="8"/>
      <c r="C710" s="27"/>
      <c r="D710" s="27"/>
      <c r="E710" s="27"/>
      <c r="F710" s="27"/>
      <c r="G710" s="27"/>
      <c r="H710" s="27"/>
      <c r="I710" s="27"/>
      <c r="J710" s="27"/>
      <c r="K710" s="27"/>
      <c r="L710" s="27"/>
      <c r="M710" s="27"/>
    </row>
    <row r="711" spans="2:13" ht="15">
      <c r="B711" s="8"/>
      <c r="C711" s="27"/>
      <c r="D711" s="27"/>
      <c r="E711" s="27"/>
      <c r="F711" s="27"/>
      <c r="G711" s="27"/>
      <c r="H711" s="27"/>
      <c r="I711" s="27"/>
      <c r="J711" s="27"/>
      <c r="K711" s="27"/>
      <c r="L711" s="27"/>
      <c r="M711" s="27"/>
    </row>
    <row r="712" spans="2:13" ht="15">
      <c r="B712" s="8"/>
      <c r="C712" s="27"/>
      <c r="D712" s="27"/>
      <c r="E712" s="27"/>
      <c r="F712" s="27"/>
      <c r="G712" s="27"/>
      <c r="H712" s="27"/>
      <c r="I712" s="27"/>
      <c r="J712" s="27"/>
      <c r="K712" s="27"/>
      <c r="L712" s="27"/>
      <c r="M712" s="27"/>
    </row>
    <row r="713" spans="2:13" ht="15">
      <c r="B713" s="8"/>
      <c r="C713" s="27"/>
      <c r="D713" s="27"/>
      <c r="E713" s="27"/>
      <c r="F713" s="27"/>
      <c r="G713" s="27"/>
      <c r="H713" s="27"/>
      <c r="I713" s="27"/>
      <c r="J713" s="27"/>
      <c r="K713" s="27"/>
      <c r="L713" s="27"/>
      <c r="M713" s="27"/>
    </row>
    <row r="714" spans="2:13" ht="15">
      <c r="B714" s="8"/>
      <c r="C714" s="27"/>
      <c r="D714" s="27"/>
      <c r="E714" s="27"/>
      <c r="F714" s="27"/>
      <c r="G714" s="27"/>
      <c r="H714" s="27"/>
      <c r="I714" s="27"/>
      <c r="J714" s="27"/>
      <c r="K714" s="27"/>
      <c r="L714" s="27"/>
      <c r="M714" s="27"/>
    </row>
    <row r="715" spans="2:13" ht="15">
      <c r="B715" s="8"/>
      <c r="C715" s="27"/>
      <c r="D715" s="27"/>
      <c r="E715" s="27"/>
      <c r="F715" s="27"/>
      <c r="G715" s="27"/>
      <c r="H715" s="27"/>
      <c r="I715" s="27"/>
      <c r="J715" s="27"/>
      <c r="K715" s="27"/>
      <c r="L715" s="27"/>
      <c r="M715" s="27"/>
    </row>
    <row r="716" spans="2:13" ht="15">
      <c r="B716" s="8"/>
      <c r="C716" s="27"/>
      <c r="D716" s="27"/>
      <c r="E716" s="27"/>
      <c r="F716" s="27"/>
      <c r="G716" s="27"/>
      <c r="H716" s="27"/>
      <c r="I716" s="27"/>
      <c r="J716" s="27"/>
      <c r="K716" s="27"/>
      <c r="L716" s="27"/>
      <c r="M716" s="27"/>
    </row>
    <row r="717" spans="2:13" ht="15">
      <c r="B717" s="8"/>
      <c r="C717" s="27"/>
      <c r="D717" s="27"/>
      <c r="E717" s="27"/>
      <c r="F717" s="27"/>
      <c r="G717" s="27"/>
      <c r="H717" s="27"/>
      <c r="I717" s="27"/>
      <c r="J717" s="27"/>
      <c r="K717" s="27"/>
      <c r="L717" s="27"/>
      <c r="M717" s="27"/>
    </row>
    <row r="718" spans="2:13" ht="15">
      <c r="B718" s="8"/>
      <c r="C718" s="27"/>
      <c r="D718" s="27"/>
      <c r="E718" s="27"/>
      <c r="F718" s="27"/>
      <c r="G718" s="27"/>
      <c r="H718" s="27"/>
      <c r="I718" s="27"/>
      <c r="J718" s="27"/>
      <c r="K718" s="27"/>
      <c r="L718" s="27"/>
      <c r="M718" s="27"/>
    </row>
    <row r="719" spans="2:13" ht="15">
      <c r="B719" s="8"/>
      <c r="C719" s="27"/>
      <c r="D719" s="27"/>
      <c r="E719" s="27"/>
      <c r="F719" s="27"/>
      <c r="G719" s="27"/>
      <c r="H719" s="27"/>
      <c r="I719" s="27"/>
      <c r="J719" s="27"/>
      <c r="K719" s="27"/>
      <c r="L719" s="27"/>
      <c r="M719" s="27"/>
    </row>
    <row r="720" spans="2:13" ht="15">
      <c r="B720" s="8"/>
      <c r="C720" s="27"/>
      <c r="D720" s="27"/>
      <c r="E720" s="27"/>
      <c r="F720" s="27"/>
      <c r="G720" s="27"/>
      <c r="H720" s="27"/>
      <c r="I720" s="27"/>
      <c r="J720" s="27"/>
      <c r="K720" s="27"/>
      <c r="L720" s="27"/>
      <c r="M720" s="27"/>
    </row>
    <row r="721" spans="2:13" ht="15">
      <c r="B721" s="8"/>
      <c r="C721" s="27"/>
      <c r="D721" s="27"/>
      <c r="E721" s="27"/>
      <c r="F721" s="27"/>
      <c r="G721" s="27"/>
      <c r="H721" s="27"/>
      <c r="I721" s="27"/>
      <c r="J721" s="27"/>
      <c r="K721" s="27"/>
      <c r="L721" s="27"/>
      <c r="M721" s="27"/>
    </row>
    <row r="722" spans="2:13" ht="15">
      <c r="B722" s="8"/>
      <c r="C722" s="27"/>
      <c r="D722" s="27"/>
      <c r="E722" s="27"/>
      <c r="F722" s="27"/>
      <c r="G722" s="27"/>
      <c r="H722" s="27"/>
      <c r="I722" s="27"/>
      <c r="J722" s="27"/>
      <c r="K722" s="27"/>
      <c r="L722" s="27"/>
      <c r="M722" s="27"/>
    </row>
    <row r="723" spans="2:13" ht="15">
      <c r="B723" s="8"/>
      <c r="C723" s="27"/>
      <c r="D723" s="27"/>
      <c r="E723" s="27"/>
      <c r="F723" s="27"/>
      <c r="G723" s="27"/>
      <c r="H723" s="27"/>
      <c r="I723" s="27"/>
      <c r="J723" s="27"/>
      <c r="K723" s="27"/>
      <c r="L723" s="27"/>
      <c r="M723" s="27"/>
    </row>
    <row r="724" spans="2:13" ht="15">
      <c r="B724" s="8"/>
      <c r="C724" s="27"/>
      <c r="D724" s="27"/>
      <c r="E724" s="27"/>
      <c r="F724" s="27"/>
      <c r="G724" s="27"/>
      <c r="H724" s="27"/>
      <c r="I724" s="27"/>
      <c r="J724" s="27"/>
      <c r="K724" s="27"/>
      <c r="L724" s="27"/>
      <c r="M724" s="27"/>
    </row>
    <row r="725" spans="2:13" ht="15">
      <c r="B725" s="8"/>
      <c r="C725" s="27"/>
      <c r="D725" s="27"/>
      <c r="E725" s="27"/>
      <c r="F725" s="27"/>
      <c r="G725" s="27"/>
      <c r="H725" s="27"/>
      <c r="I725" s="27"/>
      <c r="J725" s="27"/>
      <c r="K725" s="27"/>
      <c r="L725" s="27"/>
      <c r="M725" s="27"/>
    </row>
    <row r="726" spans="2:13" ht="15">
      <c r="B726" s="8"/>
      <c r="C726" s="27"/>
      <c r="D726" s="27"/>
      <c r="E726" s="27"/>
      <c r="F726" s="27"/>
      <c r="G726" s="27"/>
      <c r="H726" s="27"/>
      <c r="I726" s="27"/>
      <c r="J726" s="27"/>
      <c r="K726" s="27"/>
      <c r="L726" s="27"/>
      <c r="M726" s="27"/>
    </row>
    <row r="727" spans="2:13" ht="15">
      <c r="B727" s="8"/>
      <c r="C727" s="27"/>
      <c r="D727" s="27"/>
      <c r="E727" s="27"/>
      <c r="F727" s="27"/>
      <c r="G727" s="27"/>
      <c r="H727" s="27"/>
      <c r="I727" s="27"/>
      <c r="J727" s="27"/>
      <c r="K727" s="27"/>
      <c r="L727" s="27"/>
      <c r="M727" s="27"/>
    </row>
    <row r="728" spans="2:13" ht="15">
      <c r="B728" s="8"/>
      <c r="C728" s="27"/>
      <c r="D728" s="27"/>
      <c r="E728" s="27"/>
      <c r="F728" s="27"/>
      <c r="G728" s="27"/>
      <c r="H728" s="27"/>
      <c r="I728" s="27"/>
      <c r="J728" s="27"/>
      <c r="K728" s="27"/>
      <c r="L728" s="27"/>
      <c r="M728" s="27"/>
    </row>
    <row r="729" spans="2:13" ht="15">
      <c r="B729" s="8"/>
      <c r="C729" s="27"/>
      <c r="D729" s="27"/>
      <c r="E729" s="27"/>
      <c r="F729" s="27"/>
      <c r="G729" s="27"/>
      <c r="H729" s="27"/>
      <c r="I729" s="27"/>
      <c r="J729" s="27"/>
      <c r="K729" s="27"/>
      <c r="L729" s="27"/>
      <c r="M729" s="27"/>
    </row>
    <row r="730" spans="2:13" ht="15">
      <c r="B730" s="8"/>
      <c r="C730" s="27"/>
      <c r="D730" s="27"/>
      <c r="E730" s="27"/>
      <c r="F730" s="27"/>
      <c r="G730" s="27"/>
      <c r="H730" s="27"/>
      <c r="I730" s="27"/>
      <c r="J730" s="27"/>
      <c r="K730" s="27"/>
      <c r="L730" s="27"/>
      <c r="M730" s="27"/>
    </row>
    <row r="731" spans="2:13" ht="15">
      <c r="B731" s="8"/>
      <c r="C731" s="27"/>
      <c r="D731" s="27"/>
      <c r="E731" s="27"/>
      <c r="F731" s="27"/>
      <c r="G731" s="27"/>
      <c r="H731" s="27"/>
      <c r="I731" s="27"/>
      <c r="J731" s="27"/>
      <c r="K731" s="27"/>
      <c r="L731" s="27"/>
      <c r="M731" s="27"/>
    </row>
    <row r="732" spans="2:13" ht="15">
      <c r="B732" s="8"/>
      <c r="C732" s="27"/>
      <c r="D732" s="27"/>
      <c r="E732" s="27"/>
      <c r="F732" s="27"/>
      <c r="G732" s="27"/>
      <c r="H732" s="27"/>
      <c r="I732" s="27"/>
      <c r="J732" s="27"/>
      <c r="K732" s="27"/>
      <c r="L732" s="27"/>
      <c r="M732" s="27"/>
    </row>
    <row r="733" spans="2:13" ht="15">
      <c r="B733" s="8"/>
      <c r="C733" s="27"/>
      <c r="D733" s="27"/>
      <c r="E733" s="27"/>
      <c r="F733" s="27"/>
      <c r="G733" s="27"/>
      <c r="H733" s="27"/>
      <c r="I733" s="27"/>
      <c r="J733" s="27"/>
      <c r="K733" s="27"/>
      <c r="L733" s="27"/>
      <c r="M733" s="27"/>
    </row>
    <row r="734" spans="2:13" ht="15">
      <c r="B734" s="8"/>
      <c r="C734" s="27"/>
      <c r="D734" s="27"/>
      <c r="E734" s="27"/>
      <c r="F734" s="27"/>
      <c r="G734" s="27"/>
      <c r="H734" s="27"/>
      <c r="I734" s="27"/>
      <c r="J734" s="27"/>
      <c r="K734" s="27"/>
      <c r="L734" s="27"/>
      <c r="M734" s="27"/>
    </row>
    <row r="735" spans="2:13" ht="15">
      <c r="B735" s="8"/>
      <c r="C735" s="27"/>
      <c r="D735" s="27"/>
      <c r="E735" s="27"/>
      <c r="F735" s="27"/>
      <c r="G735" s="27"/>
      <c r="H735" s="27"/>
      <c r="I735" s="27"/>
      <c r="J735" s="27"/>
      <c r="K735" s="27"/>
      <c r="L735" s="27"/>
      <c r="M735" s="27"/>
    </row>
    <row r="736" spans="2:13" ht="15">
      <c r="B736" s="8"/>
      <c r="C736" s="27"/>
      <c r="D736" s="27"/>
      <c r="E736" s="27"/>
      <c r="F736" s="27"/>
      <c r="G736" s="27"/>
      <c r="H736" s="27"/>
      <c r="I736" s="27"/>
      <c r="J736" s="27"/>
      <c r="K736" s="27"/>
      <c r="L736" s="27"/>
      <c r="M736" s="27"/>
    </row>
    <row r="737" spans="2:13" ht="15">
      <c r="B737" s="8"/>
      <c r="C737" s="27"/>
      <c r="D737" s="27"/>
      <c r="E737" s="27"/>
      <c r="F737" s="27"/>
      <c r="G737" s="27"/>
      <c r="H737" s="27"/>
      <c r="I737" s="27"/>
      <c r="J737" s="27"/>
      <c r="K737" s="27"/>
      <c r="L737" s="27"/>
      <c r="M737" s="27"/>
    </row>
    <row r="738" spans="2:13" ht="15">
      <c r="B738" s="8"/>
      <c r="C738" s="27"/>
      <c r="D738" s="27"/>
      <c r="E738" s="27"/>
      <c r="F738" s="27"/>
      <c r="G738" s="27"/>
      <c r="H738" s="27"/>
      <c r="I738" s="27"/>
      <c r="J738" s="27"/>
      <c r="K738" s="27"/>
      <c r="L738" s="27"/>
      <c r="M738" s="27"/>
    </row>
    <row r="739" spans="2:13" ht="15">
      <c r="B739" s="8"/>
      <c r="C739" s="27"/>
      <c r="D739" s="27"/>
      <c r="E739" s="27"/>
      <c r="F739" s="27"/>
      <c r="G739" s="27"/>
      <c r="H739" s="27"/>
      <c r="I739" s="27"/>
      <c r="J739" s="27"/>
      <c r="K739" s="27"/>
      <c r="L739" s="27"/>
      <c r="M739" s="27"/>
    </row>
    <row r="740" spans="2:13" ht="15">
      <c r="B740" s="8"/>
      <c r="C740" s="27"/>
      <c r="D740" s="27"/>
      <c r="E740" s="27"/>
      <c r="F740" s="27"/>
      <c r="G740" s="27"/>
      <c r="H740" s="27"/>
      <c r="I740" s="27"/>
      <c r="J740" s="27"/>
      <c r="K740" s="27"/>
      <c r="L740" s="27"/>
      <c r="M740" s="27"/>
    </row>
    <row r="741" spans="2:13" ht="15">
      <c r="B741" s="8"/>
      <c r="C741" s="27"/>
      <c r="D741" s="27"/>
      <c r="E741" s="27"/>
      <c r="F741" s="27"/>
      <c r="G741" s="27"/>
      <c r="H741" s="27"/>
      <c r="I741" s="27"/>
      <c r="J741" s="27"/>
      <c r="K741" s="27"/>
      <c r="L741" s="27"/>
      <c r="M741" s="27"/>
    </row>
    <row r="742" spans="2:13" ht="15">
      <c r="B742" s="8"/>
      <c r="C742" s="27"/>
      <c r="D742" s="27"/>
      <c r="E742" s="27"/>
      <c r="F742" s="27"/>
      <c r="G742" s="27"/>
      <c r="H742" s="27"/>
      <c r="I742" s="27"/>
      <c r="J742" s="27"/>
      <c r="K742" s="27"/>
      <c r="L742" s="27"/>
      <c r="M742" s="27"/>
    </row>
    <row r="743" spans="2:13" ht="15">
      <c r="B743" s="8"/>
      <c r="C743" s="27"/>
      <c r="D743" s="27"/>
      <c r="E743" s="27"/>
      <c r="F743" s="27"/>
      <c r="G743" s="27"/>
      <c r="H743" s="27"/>
      <c r="I743" s="27"/>
      <c r="J743" s="27"/>
      <c r="K743" s="27"/>
      <c r="L743" s="27"/>
      <c r="M743" s="27"/>
    </row>
    <row r="744" spans="2:13" ht="15">
      <c r="B744" s="8"/>
      <c r="C744" s="27"/>
      <c r="D744" s="27"/>
      <c r="E744" s="27"/>
      <c r="F744" s="27"/>
      <c r="G744" s="27"/>
      <c r="H744" s="27"/>
      <c r="I744" s="27"/>
      <c r="J744" s="27"/>
      <c r="K744" s="27"/>
      <c r="L744" s="27"/>
      <c r="M744" s="27"/>
    </row>
    <row r="745" spans="2:13" ht="15">
      <c r="B745" s="8"/>
      <c r="C745" s="27"/>
      <c r="D745" s="27"/>
      <c r="E745" s="27"/>
      <c r="F745" s="27"/>
      <c r="G745" s="27"/>
      <c r="H745" s="27"/>
      <c r="I745" s="27"/>
      <c r="J745" s="27"/>
      <c r="K745" s="27"/>
      <c r="L745" s="27"/>
      <c r="M745" s="27"/>
    </row>
    <row r="746" spans="2:13" ht="15">
      <c r="B746" s="8"/>
      <c r="C746" s="27"/>
      <c r="D746" s="27"/>
      <c r="E746" s="27"/>
      <c r="F746" s="27"/>
      <c r="G746" s="27"/>
      <c r="H746" s="27"/>
      <c r="I746" s="27"/>
      <c r="J746" s="27"/>
      <c r="K746" s="27"/>
      <c r="L746" s="27"/>
      <c r="M746" s="27"/>
    </row>
    <row r="747" spans="2:13" ht="15">
      <c r="B747" s="8"/>
      <c r="C747" s="27"/>
      <c r="D747" s="27"/>
      <c r="E747" s="27"/>
      <c r="F747" s="27"/>
      <c r="G747" s="27"/>
      <c r="H747" s="27"/>
      <c r="I747" s="27"/>
      <c r="J747" s="27"/>
      <c r="K747" s="27"/>
      <c r="L747" s="27"/>
      <c r="M747" s="27"/>
    </row>
    <row r="748" spans="2:13" ht="15">
      <c r="B748" s="8"/>
      <c r="C748" s="27"/>
      <c r="D748" s="27"/>
      <c r="E748" s="27"/>
      <c r="F748" s="27"/>
      <c r="G748" s="27"/>
      <c r="H748" s="27"/>
      <c r="I748" s="27"/>
      <c r="J748" s="27"/>
      <c r="K748" s="27"/>
      <c r="L748" s="27"/>
      <c r="M748" s="27"/>
    </row>
    <row r="749" spans="2:13" ht="15">
      <c r="B749" s="8"/>
      <c r="C749" s="27"/>
      <c r="D749" s="27"/>
      <c r="E749" s="27"/>
      <c r="F749" s="27"/>
      <c r="G749" s="27"/>
      <c r="H749" s="27"/>
      <c r="I749" s="27"/>
      <c r="J749" s="27"/>
      <c r="K749" s="27"/>
      <c r="L749" s="27"/>
      <c r="M749" s="27"/>
    </row>
    <row r="750" spans="2:13" ht="15">
      <c r="B750" s="8"/>
      <c r="C750" s="27"/>
      <c r="D750" s="27"/>
      <c r="E750" s="27"/>
      <c r="F750" s="27"/>
      <c r="G750" s="27"/>
      <c r="H750" s="27"/>
      <c r="I750" s="27"/>
      <c r="J750" s="27"/>
      <c r="K750" s="27"/>
      <c r="L750" s="27"/>
      <c r="M750" s="27"/>
    </row>
    <row r="751" spans="2:13" ht="15">
      <c r="B751" s="8"/>
      <c r="C751" s="27"/>
      <c r="D751" s="27"/>
      <c r="E751" s="27"/>
      <c r="F751" s="27"/>
      <c r="G751" s="27"/>
      <c r="H751" s="27"/>
      <c r="I751" s="27"/>
      <c r="J751" s="27"/>
      <c r="K751" s="27"/>
      <c r="L751" s="27"/>
      <c r="M751" s="27"/>
    </row>
    <row r="752" spans="2:13" ht="15">
      <c r="B752" s="8"/>
      <c r="C752" s="27"/>
      <c r="D752" s="27"/>
      <c r="E752" s="27"/>
      <c r="F752" s="27"/>
      <c r="G752" s="27"/>
      <c r="H752" s="27"/>
      <c r="I752" s="27"/>
      <c r="J752" s="27"/>
      <c r="K752" s="27"/>
      <c r="L752" s="27"/>
      <c r="M752" s="27"/>
    </row>
    <row r="753" spans="2:13" ht="15">
      <c r="B753" s="8"/>
      <c r="C753" s="27"/>
      <c r="D753" s="27"/>
      <c r="E753" s="27"/>
      <c r="F753" s="27"/>
      <c r="G753" s="27"/>
      <c r="H753" s="27"/>
      <c r="I753" s="27"/>
      <c r="J753" s="27"/>
      <c r="K753" s="27"/>
      <c r="L753" s="27"/>
      <c r="M753" s="27"/>
    </row>
    <row r="754" spans="2:13" ht="15">
      <c r="B754" s="8"/>
      <c r="C754" s="27"/>
      <c r="D754" s="27"/>
      <c r="E754" s="27"/>
      <c r="F754" s="27"/>
      <c r="G754" s="27"/>
      <c r="H754" s="27"/>
      <c r="I754" s="27"/>
      <c r="J754" s="27"/>
      <c r="K754" s="27"/>
      <c r="L754" s="27"/>
      <c r="M754" s="27"/>
    </row>
    <row r="755" spans="2:13" ht="15">
      <c r="B755" s="8"/>
      <c r="C755" s="27"/>
      <c r="D755" s="27"/>
      <c r="E755" s="27"/>
      <c r="F755" s="27"/>
      <c r="G755" s="27"/>
      <c r="H755" s="27"/>
      <c r="I755" s="27"/>
      <c r="J755" s="27"/>
      <c r="K755" s="27"/>
      <c r="L755" s="27"/>
      <c r="M755" s="27"/>
    </row>
    <row r="756" spans="2:13" ht="15">
      <c r="B756" s="8"/>
      <c r="C756" s="27"/>
      <c r="D756" s="27"/>
      <c r="E756" s="27"/>
      <c r="F756" s="27"/>
      <c r="G756" s="27"/>
      <c r="H756" s="27"/>
      <c r="I756" s="27"/>
      <c r="J756" s="27"/>
      <c r="K756" s="27"/>
      <c r="L756" s="27"/>
      <c r="M756" s="27"/>
    </row>
    <row r="757" spans="2:13" ht="15">
      <c r="B757" s="8"/>
      <c r="C757" s="27"/>
      <c r="D757" s="27"/>
      <c r="E757" s="27"/>
      <c r="F757" s="27"/>
      <c r="G757" s="27"/>
      <c r="H757" s="27"/>
      <c r="I757" s="27"/>
      <c r="J757" s="27"/>
      <c r="K757" s="27"/>
      <c r="L757" s="27"/>
      <c r="M757" s="27"/>
    </row>
    <row r="758" spans="2:13" ht="15">
      <c r="B758" s="8"/>
      <c r="C758" s="27"/>
      <c r="D758" s="27"/>
      <c r="E758" s="27"/>
      <c r="F758" s="27"/>
      <c r="G758" s="27"/>
      <c r="H758" s="27"/>
      <c r="I758" s="27"/>
      <c r="J758" s="27"/>
      <c r="K758" s="27"/>
      <c r="L758" s="27"/>
      <c r="M758" s="27"/>
    </row>
    <row r="759" spans="2:13" ht="15">
      <c r="B759" s="8"/>
      <c r="C759" s="27"/>
      <c r="D759" s="27"/>
      <c r="E759" s="27"/>
      <c r="F759" s="27"/>
      <c r="G759" s="27"/>
      <c r="H759" s="27"/>
      <c r="I759" s="27"/>
      <c r="J759" s="27"/>
      <c r="K759" s="27"/>
      <c r="L759" s="27"/>
      <c r="M759" s="27"/>
    </row>
    <row r="760" spans="2:13" ht="15">
      <c r="B760" s="8"/>
      <c r="C760" s="27"/>
      <c r="D760" s="27"/>
      <c r="E760" s="27"/>
      <c r="F760" s="27"/>
      <c r="G760" s="27"/>
      <c r="H760" s="27"/>
      <c r="I760" s="27"/>
      <c r="J760" s="27"/>
      <c r="K760" s="27"/>
      <c r="L760" s="27"/>
      <c r="M760" s="27"/>
    </row>
    <row r="761" spans="2:13" ht="15">
      <c r="B761" s="8"/>
      <c r="C761" s="27"/>
      <c r="D761" s="27"/>
      <c r="E761" s="27"/>
      <c r="F761" s="27"/>
      <c r="G761" s="27"/>
      <c r="H761" s="27"/>
      <c r="I761" s="27"/>
      <c r="J761" s="27"/>
      <c r="K761" s="27"/>
      <c r="L761" s="27"/>
      <c r="M761" s="27"/>
    </row>
    <row r="762" spans="2:13" ht="15">
      <c r="B762" s="8"/>
      <c r="C762" s="27"/>
      <c r="D762" s="27"/>
      <c r="E762" s="27"/>
      <c r="F762" s="27"/>
      <c r="G762" s="27"/>
      <c r="H762" s="27"/>
      <c r="I762" s="27"/>
      <c r="J762" s="27"/>
      <c r="K762" s="27"/>
      <c r="L762" s="27"/>
      <c r="M762" s="27"/>
    </row>
    <row r="763" spans="2:13" ht="15">
      <c r="B763" s="8"/>
      <c r="C763" s="27"/>
      <c r="D763" s="27"/>
      <c r="E763" s="27"/>
      <c r="F763" s="27"/>
      <c r="G763" s="27"/>
      <c r="H763" s="27"/>
      <c r="I763" s="27"/>
      <c r="J763" s="27"/>
      <c r="K763" s="27"/>
      <c r="L763" s="27"/>
      <c r="M763" s="27"/>
    </row>
    <row r="764" spans="2:13" ht="15">
      <c r="B764" s="8"/>
      <c r="C764" s="27"/>
      <c r="D764" s="27"/>
      <c r="E764" s="27"/>
      <c r="F764" s="27"/>
      <c r="G764" s="27"/>
      <c r="H764" s="27"/>
      <c r="I764" s="27"/>
      <c r="J764" s="27"/>
      <c r="K764" s="27"/>
      <c r="L764" s="27"/>
      <c r="M764" s="27"/>
    </row>
    <row r="765" spans="2:13" ht="15">
      <c r="B765" s="8"/>
      <c r="C765" s="27"/>
      <c r="D765" s="27"/>
      <c r="E765" s="27"/>
      <c r="F765" s="27"/>
      <c r="G765" s="27"/>
      <c r="H765" s="27"/>
      <c r="I765" s="27"/>
      <c r="J765" s="27"/>
      <c r="K765" s="27"/>
      <c r="L765" s="27"/>
      <c r="M765" s="27"/>
    </row>
    <row r="766" spans="2:13" ht="15">
      <c r="B766" s="8"/>
      <c r="C766" s="27"/>
      <c r="D766" s="27"/>
      <c r="E766" s="27"/>
      <c r="F766" s="27"/>
      <c r="G766" s="27"/>
      <c r="H766" s="27"/>
      <c r="I766" s="27"/>
      <c r="J766" s="27"/>
      <c r="K766" s="27"/>
      <c r="L766" s="27"/>
      <c r="M766" s="27"/>
    </row>
    <row r="767" spans="2:13" ht="15">
      <c r="B767" s="8"/>
      <c r="C767" s="27"/>
      <c r="D767" s="27"/>
      <c r="E767" s="27"/>
      <c r="F767" s="27"/>
      <c r="G767" s="27"/>
      <c r="H767" s="27"/>
      <c r="I767" s="27"/>
      <c r="J767" s="27"/>
      <c r="K767" s="27"/>
      <c r="L767" s="27"/>
      <c r="M767" s="27"/>
    </row>
    <row r="768" spans="2:13" ht="15">
      <c r="B768" s="8"/>
      <c r="C768" s="27"/>
      <c r="D768" s="27"/>
      <c r="E768" s="27"/>
      <c r="F768" s="27"/>
      <c r="G768" s="27"/>
      <c r="H768" s="27"/>
      <c r="I768" s="27"/>
      <c r="J768" s="27"/>
      <c r="K768" s="27"/>
      <c r="L768" s="27"/>
      <c r="M768" s="27"/>
    </row>
    <row r="769" spans="2:13" ht="15">
      <c r="B769" s="8"/>
      <c r="C769" s="27"/>
      <c r="D769" s="27"/>
      <c r="E769" s="27"/>
      <c r="F769" s="27"/>
      <c r="G769" s="27"/>
      <c r="H769" s="27"/>
      <c r="I769" s="27"/>
      <c r="J769" s="27"/>
      <c r="K769" s="27"/>
      <c r="L769" s="27"/>
      <c r="M769" s="27"/>
    </row>
    <row r="770" spans="2:13" ht="15">
      <c r="B770" s="8"/>
      <c r="C770" s="27"/>
      <c r="D770" s="27"/>
      <c r="E770" s="27"/>
      <c r="F770" s="27"/>
      <c r="G770" s="27"/>
      <c r="H770" s="27"/>
      <c r="I770" s="27"/>
      <c r="J770" s="27"/>
      <c r="K770" s="27"/>
      <c r="L770" s="27"/>
      <c r="M770" s="27"/>
    </row>
    <row r="771" spans="2:13" ht="15">
      <c r="B771" s="8"/>
      <c r="C771" s="27"/>
      <c r="D771" s="27"/>
      <c r="E771" s="27"/>
      <c r="F771" s="27"/>
      <c r="G771" s="27"/>
      <c r="H771" s="27"/>
      <c r="I771" s="27"/>
      <c r="J771" s="27"/>
      <c r="K771" s="27"/>
      <c r="L771" s="27"/>
      <c r="M771" s="27"/>
    </row>
    <row r="772" spans="2:13" ht="15">
      <c r="B772" s="8"/>
      <c r="C772" s="27"/>
      <c r="D772" s="27"/>
      <c r="E772" s="27"/>
      <c r="F772" s="27"/>
      <c r="G772" s="27"/>
      <c r="H772" s="27"/>
      <c r="I772" s="27"/>
      <c r="J772" s="27"/>
      <c r="K772" s="27"/>
      <c r="L772" s="27"/>
      <c r="M772" s="27"/>
    </row>
    <row r="773" spans="2:13" ht="15">
      <c r="B773" s="8"/>
      <c r="C773" s="27"/>
      <c r="D773" s="27"/>
      <c r="E773" s="27"/>
      <c r="F773" s="27"/>
      <c r="G773" s="27"/>
      <c r="H773" s="27"/>
      <c r="I773" s="27"/>
      <c r="J773" s="27"/>
      <c r="K773" s="27"/>
      <c r="L773" s="27"/>
      <c r="M773" s="27"/>
    </row>
    <row r="774" spans="2:13" ht="15">
      <c r="B774" s="8"/>
      <c r="C774" s="27"/>
      <c r="D774" s="27"/>
      <c r="E774" s="27"/>
      <c r="F774" s="27"/>
      <c r="G774" s="27"/>
      <c r="H774" s="27"/>
      <c r="I774" s="27"/>
      <c r="J774" s="27"/>
      <c r="K774" s="27"/>
      <c r="L774" s="27"/>
      <c r="M774" s="27"/>
    </row>
    <row r="775" spans="2:13" ht="15">
      <c r="B775" s="8"/>
      <c r="C775" s="27"/>
      <c r="D775" s="27"/>
      <c r="E775" s="27"/>
      <c r="F775" s="27"/>
      <c r="G775" s="27"/>
      <c r="H775" s="27"/>
      <c r="I775" s="27"/>
      <c r="J775" s="27"/>
      <c r="K775" s="27"/>
      <c r="L775" s="27"/>
      <c r="M775" s="27"/>
    </row>
    <row r="776" spans="2:13" ht="15">
      <c r="B776" s="8"/>
      <c r="C776" s="27"/>
      <c r="D776" s="27"/>
      <c r="E776" s="27"/>
      <c r="F776" s="27"/>
      <c r="G776" s="27"/>
      <c r="H776" s="27"/>
      <c r="I776" s="27"/>
      <c r="J776" s="27"/>
      <c r="K776" s="27"/>
      <c r="L776" s="27"/>
      <c r="M776" s="27"/>
    </row>
    <row r="777" spans="2:13" ht="15">
      <c r="B777" s="8"/>
      <c r="C777" s="27"/>
      <c r="D777" s="27"/>
      <c r="E777" s="27"/>
      <c r="F777" s="27"/>
      <c r="G777" s="27"/>
      <c r="H777" s="27"/>
      <c r="I777" s="27"/>
      <c r="J777" s="27"/>
      <c r="K777" s="27"/>
      <c r="L777" s="27"/>
      <c r="M777" s="27"/>
    </row>
    <row r="778" spans="2:13" ht="15">
      <c r="B778" s="8"/>
      <c r="C778" s="27"/>
      <c r="D778" s="27"/>
      <c r="E778" s="27"/>
      <c r="F778" s="27"/>
      <c r="G778" s="27"/>
      <c r="H778" s="27"/>
      <c r="I778" s="27"/>
      <c r="J778" s="27"/>
      <c r="K778" s="27"/>
      <c r="L778" s="27"/>
      <c r="M778" s="27"/>
    </row>
    <row r="779" spans="2:13" ht="15">
      <c r="B779" s="8"/>
      <c r="C779" s="27"/>
      <c r="D779" s="27"/>
      <c r="E779" s="27"/>
      <c r="F779" s="27"/>
      <c r="G779" s="27"/>
      <c r="H779" s="27"/>
      <c r="I779" s="27"/>
      <c r="J779" s="27"/>
      <c r="K779" s="27"/>
      <c r="L779" s="27"/>
      <c r="M779" s="27"/>
    </row>
    <row r="780" spans="2:13" ht="15">
      <c r="B780" s="8"/>
      <c r="C780" s="27"/>
      <c r="D780" s="27"/>
      <c r="E780" s="27"/>
      <c r="F780" s="27"/>
      <c r="G780" s="27"/>
      <c r="H780" s="27"/>
      <c r="I780" s="27"/>
      <c r="J780" s="27"/>
      <c r="K780" s="27"/>
      <c r="L780" s="27"/>
      <c r="M780" s="27"/>
    </row>
    <row r="781" spans="2:13" ht="15">
      <c r="B781" s="8"/>
      <c r="C781" s="27"/>
      <c r="D781" s="27"/>
      <c r="E781" s="27"/>
      <c r="F781" s="27"/>
      <c r="G781" s="27"/>
      <c r="H781" s="27"/>
      <c r="I781" s="27"/>
      <c r="J781" s="27"/>
      <c r="K781" s="27"/>
      <c r="L781" s="27"/>
      <c r="M781" s="27"/>
    </row>
    <row r="782" spans="2:13" ht="15">
      <c r="B782" s="8"/>
      <c r="C782" s="27"/>
      <c r="D782" s="27"/>
      <c r="E782" s="27"/>
      <c r="F782" s="27"/>
      <c r="G782" s="27"/>
      <c r="H782" s="27"/>
      <c r="I782" s="27"/>
      <c r="J782" s="27"/>
      <c r="K782" s="27"/>
      <c r="L782" s="27"/>
      <c r="M782" s="27"/>
    </row>
    <row r="783" spans="2:13" ht="15">
      <c r="B783" s="8"/>
      <c r="C783" s="27"/>
      <c r="D783" s="27"/>
      <c r="E783" s="27"/>
      <c r="F783" s="27"/>
      <c r="G783" s="27"/>
      <c r="H783" s="27"/>
      <c r="I783" s="27"/>
      <c r="J783" s="27"/>
      <c r="K783" s="27"/>
      <c r="L783" s="27"/>
      <c r="M783" s="27"/>
    </row>
    <row r="784" spans="2:13" ht="15">
      <c r="B784" s="8"/>
      <c r="C784" s="27"/>
      <c r="D784" s="27"/>
      <c r="E784" s="27"/>
      <c r="F784" s="27"/>
      <c r="G784" s="27"/>
      <c r="H784" s="27"/>
      <c r="I784" s="27"/>
      <c r="J784" s="27"/>
      <c r="K784" s="27"/>
      <c r="L784" s="27"/>
      <c r="M784" s="27"/>
    </row>
    <row r="785" spans="2:13" ht="15">
      <c r="B785" s="8"/>
      <c r="C785" s="27"/>
      <c r="D785" s="27"/>
      <c r="E785" s="27"/>
      <c r="F785" s="27"/>
      <c r="G785" s="27"/>
      <c r="H785" s="27"/>
      <c r="I785" s="27"/>
      <c r="J785" s="27"/>
      <c r="K785" s="27"/>
      <c r="L785" s="27"/>
      <c r="M785" s="27"/>
    </row>
    <row r="786" spans="2:13" ht="15">
      <c r="B786" s="8"/>
      <c r="C786" s="27"/>
      <c r="D786" s="27"/>
      <c r="E786" s="27"/>
      <c r="F786" s="27"/>
      <c r="G786" s="27"/>
      <c r="H786" s="27"/>
      <c r="I786" s="27"/>
      <c r="J786" s="27"/>
      <c r="K786" s="27"/>
      <c r="L786" s="27"/>
      <c r="M786" s="27"/>
    </row>
    <row r="787" spans="2:13" ht="15">
      <c r="B787" s="8"/>
      <c r="C787" s="27"/>
      <c r="D787" s="27"/>
      <c r="E787" s="27"/>
      <c r="F787" s="27"/>
      <c r="G787" s="27"/>
      <c r="H787" s="27"/>
      <c r="I787" s="27"/>
      <c r="J787" s="27"/>
      <c r="K787" s="27"/>
      <c r="L787" s="27"/>
      <c r="M787" s="27"/>
    </row>
    <row r="788" spans="2:13" ht="15">
      <c r="B788" s="8"/>
      <c r="C788" s="27"/>
      <c r="D788" s="27"/>
      <c r="E788" s="27"/>
      <c r="F788" s="27"/>
      <c r="G788" s="27"/>
      <c r="H788" s="27"/>
      <c r="I788" s="27"/>
      <c r="J788" s="27"/>
      <c r="K788" s="27"/>
      <c r="L788" s="27"/>
      <c r="M788" s="27"/>
    </row>
    <row r="789" spans="2:13" ht="15">
      <c r="B789" s="8"/>
      <c r="C789" s="27"/>
      <c r="D789" s="27"/>
      <c r="E789" s="27"/>
      <c r="F789" s="27"/>
      <c r="G789" s="27"/>
      <c r="H789" s="27"/>
      <c r="I789" s="27"/>
      <c r="J789" s="27"/>
      <c r="K789" s="27"/>
      <c r="L789" s="27"/>
      <c r="M789" s="27"/>
    </row>
    <row r="790" spans="2:13" ht="15">
      <c r="B790" s="8"/>
      <c r="C790" s="27"/>
      <c r="D790" s="27"/>
      <c r="E790" s="27"/>
      <c r="F790" s="27"/>
      <c r="G790" s="27"/>
      <c r="H790" s="27"/>
      <c r="I790" s="27"/>
      <c r="J790" s="27"/>
      <c r="K790" s="27"/>
      <c r="L790" s="27"/>
      <c r="M790" s="27"/>
    </row>
    <row r="791" spans="2:13" ht="15">
      <c r="B791" s="8"/>
      <c r="C791" s="27"/>
      <c r="D791" s="27"/>
      <c r="E791" s="27"/>
      <c r="F791" s="27"/>
      <c r="G791" s="27"/>
      <c r="H791" s="27"/>
      <c r="I791" s="27"/>
      <c r="J791" s="27"/>
      <c r="K791" s="27"/>
      <c r="L791" s="27"/>
      <c r="M791" s="27"/>
    </row>
    <row r="792" spans="2:13" ht="15">
      <c r="B792" s="8"/>
      <c r="C792" s="27"/>
      <c r="D792" s="27"/>
      <c r="E792" s="27"/>
      <c r="F792" s="27"/>
      <c r="G792" s="27"/>
      <c r="H792" s="27"/>
      <c r="I792" s="27"/>
      <c r="J792" s="27"/>
      <c r="K792" s="27"/>
      <c r="L792" s="27"/>
      <c r="M792" s="27"/>
    </row>
    <row r="793" spans="2:13" ht="15">
      <c r="B793" s="8"/>
      <c r="C793" s="27"/>
      <c r="D793" s="27"/>
      <c r="E793" s="27"/>
      <c r="F793" s="27"/>
      <c r="G793" s="27"/>
      <c r="H793" s="27"/>
      <c r="I793" s="27"/>
      <c r="J793" s="27"/>
      <c r="K793" s="27"/>
      <c r="L793" s="27"/>
      <c r="M793" s="27"/>
    </row>
    <row r="794" spans="2:13" ht="15">
      <c r="B794" s="8"/>
      <c r="C794" s="27"/>
      <c r="D794" s="27"/>
      <c r="E794" s="27"/>
      <c r="F794" s="27"/>
      <c r="G794" s="27"/>
      <c r="H794" s="27"/>
      <c r="I794" s="27"/>
      <c r="J794" s="27"/>
      <c r="K794" s="27"/>
      <c r="L794" s="27"/>
      <c r="M794" s="27"/>
    </row>
    <row r="795" spans="2:13" ht="15">
      <c r="B795" s="8"/>
      <c r="C795" s="27"/>
      <c r="D795" s="27"/>
      <c r="E795" s="27"/>
      <c r="F795" s="27"/>
      <c r="G795" s="27"/>
      <c r="H795" s="27"/>
      <c r="I795" s="27"/>
      <c r="J795" s="27"/>
      <c r="K795" s="27"/>
      <c r="L795" s="27"/>
      <c r="M795" s="27"/>
    </row>
    <row r="796" spans="2:13" ht="15">
      <c r="B796" s="8"/>
      <c r="C796" s="27"/>
      <c r="D796" s="27"/>
      <c r="E796" s="27"/>
      <c r="F796" s="27"/>
      <c r="G796" s="27"/>
      <c r="H796" s="27"/>
      <c r="I796" s="27"/>
      <c r="J796" s="27"/>
      <c r="K796" s="27"/>
      <c r="L796" s="27"/>
      <c r="M796" s="27"/>
    </row>
    <row r="797" spans="2:13" ht="15">
      <c r="B797" s="8"/>
      <c r="C797" s="27"/>
      <c r="D797" s="27"/>
      <c r="E797" s="27"/>
      <c r="F797" s="27"/>
      <c r="G797" s="27"/>
      <c r="H797" s="27"/>
      <c r="I797" s="27"/>
      <c r="J797" s="27"/>
      <c r="K797" s="27"/>
      <c r="L797" s="27"/>
      <c r="M797" s="27"/>
    </row>
    <row r="798" spans="2:13" ht="15">
      <c r="B798" s="8"/>
      <c r="C798" s="27"/>
      <c r="D798" s="27"/>
      <c r="E798" s="27"/>
      <c r="F798" s="27"/>
      <c r="G798" s="27"/>
      <c r="H798" s="27"/>
      <c r="I798" s="27"/>
      <c r="J798" s="27"/>
      <c r="K798" s="27"/>
      <c r="L798" s="27"/>
      <c r="M798" s="27"/>
    </row>
    <row r="799" spans="2:13" ht="15">
      <c r="B799" s="8"/>
      <c r="C799" s="27"/>
      <c r="D799" s="27"/>
      <c r="E799" s="27"/>
      <c r="F799" s="27"/>
      <c r="G799" s="27"/>
      <c r="H799" s="27"/>
      <c r="I799" s="27"/>
      <c r="J799" s="27"/>
      <c r="K799" s="27"/>
      <c r="L799" s="27"/>
      <c r="M799" s="27"/>
    </row>
    <row r="800" spans="2:13" ht="15">
      <c r="B800" s="8"/>
      <c r="C800" s="27"/>
      <c r="D800" s="27"/>
      <c r="E800" s="27"/>
      <c r="F800" s="27"/>
      <c r="G800" s="27"/>
      <c r="H800" s="27"/>
      <c r="I800" s="27"/>
      <c r="J800" s="27"/>
      <c r="K800" s="27"/>
      <c r="L800" s="27"/>
      <c r="M800" s="27"/>
    </row>
    <row r="801" spans="2:13" ht="15">
      <c r="B801" s="8"/>
      <c r="C801" s="27"/>
      <c r="D801" s="27"/>
      <c r="E801" s="27"/>
      <c r="F801" s="27"/>
      <c r="G801" s="27"/>
      <c r="H801" s="27"/>
      <c r="I801" s="27"/>
      <c r="J801" s="27"/>
      <c r="K801" s="27"/>
      <c r="L801" s="27"/>
      <c r="M801" s="27"/>
    </row>
    <row r="802" spans="2:13" ht="15">
      <c r="B802" s="8"/>
      <c r="C802" s="27"/>
      <c r="D802" s="27"/>
      <c r="E802" s="27"/>
      <c r="F802" s="27"/>
      <c r="G802" s="27"/>
      <c r="H802" s="27"/>
      <c r="I802" s="27"/>
      <c r="J802" s="27"/>
      <c r="K802" s="27"/>
      <c r="L802" s="27"/>
      <c r="M802" s="27"/>
    </row>
    <row r="803" spans="2:13" ht="15">
      <c r="B803" s="8"/>
      <c r="C803" s="27"/>
      <c r="D803" s="27"/>
      <c r="E803" s="27"/>
      <c r="F803" s="27"/>
      <c r="G803" s="27"/>
      <c r="H803" s="27"/>
      <c r="I803" s="27"/>
      <c r="J803" s="27"/>
      <c r="K803" s="27"/>
      <c r="L803" s="27"/>
      <c r="M803" s="27"/>
    </row>
    <row r="804" spans="2:13" ht="15">
      <c r="B804" s="8"/>
      <c r="C804" s="27"/>
      <c r="D804" s="27"/>
      <c r="E804" s="27"/>
      <c r="F804" s="27"/>
      <c r="G804" s="27"/>
      <c r="H804" s="27"/>
      <c r="I804" s="27"/>
      <c r="J804" s="27"/>
      <c r="K804" s="27"/>
      <c r="L804" s="27"/>
      <c r="M804" s="27"/>
    </row>
    <row r="805" spans="2:13" ht="15">
      <c r="B805" s="8"/>
      <c r="C805" s="27"/>
      <c r="D805" s="27"/>
      <c r="E805" s="27"/>
      <c r="F805" s="27"/>
      <c r="G805" s="27"/>
      <c r="H805" s="27"/>
      <c r="I805" s="27"/>
      <c r="J805" s="27"/>
      <c r="K805" s="27"/>
      <c r="L805" s="27"/>
      <c r="M805" s="27"/>
    </row>
    <row r="806" spans="2:13" ht="15">
      <c r="B806" s="8"/>
      <c r="C806" s="27"/>
      <c r="D806" s="27"/>
      <c r="E806" s="27"/>
      <c r="F806" s="27"/>
      <c r="G806" s="27"/>
      <c r="H806" s="27"/>
      <c r="I806" s="27"/>
      <c r="J806" s="27"/>
      <c r="K806" s="27"/>
      <c r="L806" s="27"/>
      <c r="M806" s="27"/>
    </row>
    <row r="807" spans="2:13" ht="15">
      <c r="B807" s="8"/>
      <c r="C807" s="27"/>
      <c r="D807" s="27"/>
      <c r="E807" s="27"/>
      <c r="F807" s="27"/>
      <c r="G807" s="27"/>
      <c r="H807" s="27"/>
      <c r="I807" s="27"/>
      <c r="J807" s="27"/>
      <c r="K807" s="27"/>
      <c r="L807" s="27"/>
      <c r="M807" s="27"/>
    </row>
    <row r="808" spans="2:13" ht="15">
      <c r="B808" s="8"/>
      <c r="C808" s="27"/>
      <c r="D808" s="27"/>
      <c r="E808" s="27"/>
      <c r="F808" s="27"/>
      <c r="G808" s="27"/>
      <c r="H808" s="27"/>
      <c r="I808" s="27"/>
      <c r="J808" s="27"/>
      <c r="K808" s="27"/>
      <c r="L808" s="27"/>
      <c r="M808" s="27"/>
    </row>
    <row r="809" spans="2:13" ht="15">
      <c r="B809" s="8"/>
      <c r="C809" s="27"/>
      <c r="D809" s="27"/>
      <c r="E809" s="27"/>
      <c r="F809" s="27"/>
      <c r="G809" s="27"/>
      <c r="H809" s="27"/>
      <c r="I809" s="27"/>
      <c r="J809" s="27"/>
      <c r="K809" s="27"/>
      <c r="L809" s="27"/>
      <c r="M809" s="27"/>
    </row>
    <row r="810" spans="2:13" ht="15">
      <c r="B810" s="8"/>
      <c r="C810" s="27"/>
      <c r="D810" s="27"/>
      <c r="E810" s="27"/>
      <c r="F810" s="27"/>
      <c r="G810" s="27"/>
      <c r="H810" s="27"/>
      <c r="I810" s="27"/>
      <c r="J810" s="27"/>
      <c r="K810" s="27"/>
      <c r="L810" s="27"/>
      <c r="M810" s="27"/>
    </row>
    <row r="811" spans="2:13" ht="15">
      <c r="B811" s="8"/>
      <c r="C811" s="27"/>
      <c r="D811" s="27"/>
      <c r="E811" s="27"/>
      <c r="F811" s="27"/>
      <c r="G811" s="27"/>
      <c r="H811" s="27"/>
      <c r="I811" s="27"/>
      <c r="J811" s="27"/>
      <c r="K811" s="27"/>
      <c r="L811" s="27"/>
      <c r="M811" s="27"/>
    </row>
    <row r="812" spans="2:13" ht="15">
      <c r="B812" s="8"/>
      <c r="C812" s="27"/>
      <c r="D812" s="27"/>
      <c r="E812" s="27"/>
      <c r="F812" s="27"/>
      <c r="G812" s="27"/>
      <c r="H812" s="27"/>
      <c r="I812" s="27"/>
      <c r="J812" s="27"/>
      <c r="K812" s="27"/>
      <c r="L812" s="27"/>
      <c r="M812" s="27"/>
    </row>
    <row r="813" spans="2:13" ht="15">
      <c r="B813" s="8"/>
      <c r="C813" s="27"/>
      <c r="D813" s="27"/>
      <c r="E813" s="27"/>
      <c r="F813" s="27"/>
      <c r="G813" s="27"/>
      <c r="H813" s="27"/>
      <c r="I813" s="27"/>
      <c r="J813" s="27"/>
      <c r="K813" s="27"/>
      <c r="L813" s="27"/>
      <c r="M813" s="27"/>
    </row>
    <row r="814" spans="2:13" ht="15">
      <c r="B814" s="8"/>
      <c r="C814" s="27"/>
      <c r="D814" s="27"/>
      <c r="E814" s="27"/>
      <c r="F814" s="27"/>
      <c r="G814" s="27"/>
      <c r="H814" s="27"/>
      <c r="I814" s="27"/>
      <c r="J814" s="27"/>
      <c r="K814" s="27"/>
      <c r="L814" s="27"/>
      <c r="M814" s="27"/>
    </row>
    <row r="815" spans="2:13" ht="15">
      <c r="B815" s="8"/>
      <c r="C815" s="27"/>
      <c r="D815" s="27"/>
      <c r="E815" s="27"/>
      <c r="F815" s="27"/>
      <c r="G815" s="27"/>
      <c r="H815" s="27"/>
      <c r="I815" s="27"/>
      <c r="J815" s="27"/>
      <c r="K815" s="27"/>
      <c r="L815" s="27"/>
      <c r="M815" s="27"/>
    </row>
    <row r="816" spans="2:13" ht="15">
      <c r="B816" s="8"/>
      <c r="C816" s="27"/>
      <c r="D816" s="27"/>
      <c r="E816" s="27"/>
      <c r="F816" s="27"/>
      <c r="G816" s="27"/>
      <c r="H816" s="27"/>
      <c r="I816" s="27"/>
      <c r="J816" s="27"/>
      <c r="K816" s="27"/>
      <c r="L816" s="27"/>
      <c r="M816" s="27"/>
    </row>
    <row r="817" spans="2:13" ht="15">
      <c r="B817" s="8"/>
      <c r="C817" s="27"/>
      <c r="D817" s="27"/>
      <c r="E817" s="27"/>
      <c r="F817" s="27"/>
      <c r="G817" s="27"/>
      <c r="H817" s="27"/>
      <c r="I817" s="27"/>
      <c r="J817" s="27"/>
      <c r="K817" s="27"/>
      <c r="L817" s="27"/>
      <c r="M817" s="27"/>
    </row>
    <row r="818" spans="2:13" ht="15">
      <c r="B818" s="8"/>
      <c r="C818" s="27"/>
      <c r="D818" s="27"/>
      <c r="E818" s="27"/>
      <c r="F818" s="27"/>
      <c r="G818" s="27"/>
      <c r="H818" s="27"/>
      <c r="I818" s="27"/>
      <c r="J818" s="27"/>
      <c r="K818" s="27"/>
      <c r="L818" s="27"/>
      <c r="M818" s="27"/>
    </row>
    <row r="819" spans="2:13" ht="15">
      <c r="B819" s="8"/>
      <c r="C819" s="27"/>
      <c r="D819" s="27"/>
      <c r="E819" s="27"/>
      <c r="F819" s="27"/>
      <c r="G819" s="27"/>
      <c r="H819" s="27"/>
      <c r="I819" s="27"/>
      <c r="J819" s="27"/>
      <c r="K819" s="27"/>
      <c r="L819" s="27"/>
      <c r="M819" s="27"/>
    </row>
    <row r="820" spans="2:13" ht="15">
      <c r="B820" s="8"/>
      <c r="C820" s="27"/>
      <c r="D820" s="27"/>
      <c r="E820" s="27"/>
      <c r="F820" s="27"/>
      <c r="G820" s="27"/>
      <c r="H820" s="27"/>
      <c r="I820" s="27"/>
      <c r="J820" s="27"/>
      <c r="K820" s="27"/>
      <c r="L820" s="27"/>
      <c r="M820" s="27"/>
    </row>
    <row r="821" spans="2:13" ht="15">
      <c r="B821" s="8"/>
      <c r="C821" s="27"/>
      <c r="D821" s="27"/>
      <c r="E821" s="27"/>
      <c r="F821" s="27"/>
      <c r="G821" s="27"/>
      <c r="H821" s="27"/>
      <c r="I821" s="27"/>
      <c r="J821" s="27"/>
      <c r="K821" s="27"/>
      <c r="L821" s="27"/>
      <c r="M821" s="27"/>
    </row>
    <row r="822" spans="2:13" ht="15">
      <c r="B822" s="8"/>
      <c r="C822" s="27"/>
      <c r="D822" s="27"/>
      <c r="E822" s="27"/>
      <c r="F822" s="27"/>
      <c r="G822" s="27"/>
      <c r="H822" s="27"/>
      <c r="I822" s="27"/>
      <c r="J822" s="27"/>
      <c r="K822" s="27"/>
      <c r="L822" s="27"/>
      <c r="M822" s="27"/>
    </row>
    <row r="823" spans="2:13" ht="15">
      <c r="B823" s="8"/>
      <c r="C823" s="27"/>
      <c r="D823" s="27"/>
      <c r="E823" s="27"/>
      <c r="F823" s="27"/>
      <c r="G823" s="27"/>
      <c r="H823" s="27"/>
      <c r="I823" s="27"/>
      <c r="J823" s="27"/>
      <c r="K823" s="27"/>
      <c r="L823" s="27"/>
      <c r="M823" s="27"/>
    </row>
    <row r="824" spans="2:13" ht="15">
      <c r="B824" s="8"/>
      <c r="C824" s="27"/>
      <c r="D824" s="27"/>
      <c r="E824" s="27"/>
      <c r="F824" s="27"/>
      <c r="G824" s="27"/>
      <c r="H824" s="27"/>
      <c r="I824" s="27"/>
      <c r="J824" s="27"/>
      <c r="K824" s="27"/>
      <c r="L824" s="27"/>
      <c r="M824" s="27"/>
    </row>
    <row r="825" spans="2:13" ht="15">
      <c r="B825" s="8"/>
      <c r="C825" s="27"/>
      <c r="D825" s="27"/>
      <c r="E825" s="27"/>
      <c r="F825" s="27"/>
      <c r="G825" s="27"/>
      <c r="H825" s="27"/>
      <c r="I825" s="27"/>
      <c r="J825" s="27"/>
      <c r="K825" s="27"/>
      <c r="L825" s="27"/>
      <c r="M825" s="27"/>
    </row>
    <row r="826" spans="2:13" ht="15">
      <c r="B826" s="8"/>
      <c r="C826" s="27"/>
      <c r="D826" s="27"/>
      <c r="E826" s="27"/>
      <c r="F826" s="27"/>
      <c r="G826" s="27"/>
      <c r="H826" s="27"/>
      <c r="I826" s="27"/>
      <c r="J826" s="27"/>
      <c r="K826" s="27"/>
      <c r="L826" s="27"/>
      <c r="M826" s="27"/>
    </row>
    <row r="827" spans="2:13" ht="15">
      <c r="B827" s="8"/>
      <c r="C827" s="27"/>
      <c r="D827" s="27"/>
      <c r="E827" s="27"/>
      <c r="F827" s="27"/>
      <c r="G827" s="27"/>
      <c r="H827" s="27"/>
      <c r="I827" s="27"/>
      <c r="J827" s="27"/>
      <c r="K827" s="27"/>
      <c r="L827" s="27"/>
      <c r="M827" s="27"/>
    </row>
    <row r="828" spans="2:13" ht="15">
      <c r="B828" s="8"/>
      <c r="C828" s="27"/>
      <c r="D828" s="27"/>
      <c r="E828" s="27"/>
      <c r="F828" s="27"/>
      <c r="G828" s="27"/>
      <c r="H828" s="27"/>
      <c r="I828" s="27"/>
      <c r="J828" s="27"/>
      <c r="K828" s="27"/>
      <c r="L828" s="27"/>
      <c r="M828" s="27"/>
    </row>
    <row r="829" spans="2:13" ht="15">
      <c r="B829" s="8"/>
      <c r="C829" s="27"/>
      <c r="D829" s="27"/>
      <c r="E829" s="27"/>
      <c r="F829" s="27"/>
      <c r="G829" s="27"/>
      <c r="H829" s="27"/>
      <c r="I829" s="27"/>
      <c r="J829" s="27"/>
      <c r="K829" s="27"/>
      <c r="L829" s="27"/>
      <c r="M829" s="27"/>
    </row>
    <row r="830" spans="2:13" ht="15">
      <c r="B830" s="8"/>
      <c r="C830" s="27"/>
      <c r="D830" s="27"/>
      <c r="E830" s="27"/>
      <c r="F830" s="27"/>
      <c r="G830" s="27"/>
      <c r="H830" s="27"/>
      <c r="I830" s="27"/>
      <c r="J830" s="27"/>
      <c r="K830" s="27"/>
      <c r="L830" s="27"/>
      <c r="M830" s="27"/>
    </row>
    <row r="831" spans="2:13" ht="15">
      <c r="B831" s="8"/>
      <c r="C831" s="27"/>
      <c r="D831" s="27"/>
      <c r="E831" s="27"/>
      <c r="F831" s="27"/>
      <c r="G831" s="27"/>
      <c r="H831" s="27"/>
      <c r="I831" s="27"/>
      <c r="J831" s="27"/>
      <c r="K831" s="27"/>
      <c r="L831" s="27"/>
      <c r="M831" s="27"/>
    </row>
    <row r="832" spans="2:13" ht="15">
      <c r="B832" s="8"/>
      <c r="C832" s="27"/>
      <c r="D832" s="27"/>
      <c r="E832" s="27"/>
      <c r="F832" s="27"/>
      <c r="G832" s="27"/>
      <c r="H832" s="27"/>
      <c r="I832" s="27"/>
      <c r="J832" s="27"/>
      <c r="K832" s="27"/>
      <c r="L832" s="27"/>
      <c r="M832" s="27"/>
    </row>
    <row r="833" spans="2:13" ht="15">
      <c r="B833" s="8"/>
      <c r="C833" s="27"/>
      <c r="D833" s="27"/>
      <c r="E833" s="27"/>
      <c r="F833" s="27"/>
      <c r="G833" s="27"/>
      <c r="H833" s="27"/>
      <c r="I833" s="27"/>
      <c r="J833" s="27"/>
      <c r="K833" s="27"/>
      <c r="L833" s="27"/>
      <c r="M833" s="27"/>
    </row>
    <row r="834" spans="2:13" ht="15">
      <c r="B834" s="8"/>
      <c r="C834" s="27"/>
      <c r="D834" s="27"/>
      <c r="E834" s="27"/>
      <c r="F834" s="27"/>
      <c r="G834" s="27"/>
      <c r="H834" s="27"/>
      <c r="I834" s="27"/>
      <c r="J834" s="27"/>
      <c r="K834" s="27"/>
      <c r="L834" s="27"/>
      <c r="M834" s="27"/>
    </row>
    <row r="835" spans="2:13" ht="15">
      <c r="B835" s="8"/>
      <c r="C835" s="27"/>
      <c r="D835" s="27"/>
      <c r="E835" s="27"/>
      <c r="F835" s="27"/>
      <c r="G835" s="27"/>
      <c r="H835" s="27"/>
      <c r="I835" s="27"/>
      <c r="J835" s="27"/>
      <c r="K835" s="27"/>
      <c r="L835" s="27"/>
      <c r="M835" s="27"/>
    </row>
    <row r="836" spans="2:13" ht="15">
      <c r="B836" s="8"/>
      <c r="C836" s="27"/>
      <c r="D836" s="27"/>
      <c r="E836" s="27"/>
      <c r="F836" s="27"/>
      <c r="G836" s="27"/>
      <c r="H836" s="27"/>
      <c r="I836" s="27"/>
      <c r="J836" s="27"/>
      <c r="K836" s="27"/>
      <c r="L836" s="27"/>
      <c r="M836" s="27"/>
    </row>
    <row r="837" spans="2:13" ht="15">
      <c r="B837" s="8"/>
      <c r="C837" s="27"/>
      <c r="D837" s="27"/>
      <c r="E837" s="27"/>
      <c r="F837" s="27"/>
      <c r="G837" s="27"/>
      <c r="H837" s="27"/>
      <c r="I837" s="27"/>
      <c r="J837" s="27"/>
      <c r="K837" s="27"/>
      <c r="L837" s="27"/>
      <c r="M837" s="27"/>
    </row>
    <row r="838" spans="2:13" ht="15">
      <c r="B838" s="8"/>
      <c r="C838" s="27"/>
      <c r="D838" s="27"/>
      <c r="E838" s="27"/>
      <c r="F838" s="27"/>
      <c r="G838" s="27"/>
      <c r="H838" s="27"/>
      <c r="I838" s="27"/>
      <c r="J838" s="27"/>
      <c r="K838" s="27"/>
      <c r="L838" s="27"/>
      <c r="M838" s="27"/>
    </row>
    <row r="839" spans="2:13" ht="15">
      <c r="B839" s="8"/>
      <c r="C839" s="27"/>
      <c r="D839" s="27"/>
      <c r="E839" s="27"/>
      <c r="F839" s="27"/>
      <c r="G839" s="27"/>
      <c r="H839" s="27"/>
      <c r="I839" s="27"/>
      <c r="J839" s="27"/>
      <c r="K839" s="27"/>
      <c r="L839" s="27"/>
      <c r="M839" s="27"/>
    </row>
    <row r="840" spans="2:13" ht="15">
      <c r="B840" s="8"/>
      <c r="C840" s="27"/>
      <c r="D840" s="27"/>
      <c r="E840" s="27"/>
      <c r="F840" s="27"/>
      <c r="G840" s="27"/>
      <c r="H840" s="27"/>
      <c r="I840" s="27"/>
      <c r="J840" s="27"/>
      <c r="K840" s="27"/>
      <c r="L840" s="27"/>
      <c r="M840" s="27"/>
    </row>
    <row r="841" spans="2:13" ht="15">
      <c r="B841" s="8"/>
      <c r="C841" s="27"/>
      <c r="D841" s="27"/>
      <c r="E841" s="27"/>
      <c r="F841" s="27"/>
      <c r="G841" s="27"/>
      <c r="H841" s="27"/>
      <c r="I841" s="27"/>
      <c r="J841" s="27"/>
      <c r="K841" s="27"/>
      <c r="L841" s="27"/>
      <c r="M841" s="27"/>
    </row>
    <row r="842" spans="2:13" ht="15">
      <c r="B842" s="8"/>
      <c r="C842" s="27"/>
      <c r="D842" s="27"/>
      <c r="E842" s="27"/>
      <c r="F842" s="27"/>
      <c r="G842" s="27"/>
      <c r="H842" s="27"/>
      <c r="I842" s="27"/>
      <c r="J842" s="27"/>
      <c r="K842" s="27"/>
      <c r="L842" s="27"/>
      <c r="M842" s="27"/>
    </row>
    <row r="843" spans="2:13" ht="15">
      <c r="B843" s="8"/>
      <c r="C843" s="27"/>
      <c r="D843" s="27"/>
      <c r="E843" s="27"/>
      <c r="F843" s="27"/>
      <c r="G843" s="27"/>
      <c r="H843" s="27"/>
      <c r="I843" s="27"/>
      <c r="J843" s="27"/>
      <c r="K843" s="27"/>
      <c r="L843" s="27"/>
      <c r="M843" s="27"/>
    </row>
    <row r="844" spans="2:13" ht="15">
      <c r="B844" s="8"/>
      <c r="C844" s="27"/>
      <c r="D844" s="27"/>
      <c r="E844" s="27"/>
      <c r="F844" s="27"/>
      <c r="G844" s="27"/>
      <c r="H844" s="27"/>
      <c r="I844" s="27"/>
      <c r="J844" s="27"/>
      <c r="K844" s="27"/>
      <c r="L844" s="27"/>
      <c r="M844" s="27"/>
    </row>
    <row r="845" spans="2:13" ht="15">
      <c r="B845" s="8"/>
      <c r="C845" s="27"/>
      <c r="D845" s="27"/>
      <c r="E845" s="27"/>
      <c r="F845" s="27"/>
      <c r="G845" s="27"/>
      <c r="H845" s="27"/>
      <c r="I845" s="27"/>
      <c r="J845" s="27"/>
      <c r="K845" s="27"/>
      <c r="L845" s="27"/>
      <c r="M845" s="27"/>
    </row>
    <row r="846" spans="2:13" ht="15">
      <c r="B846" s="8"/>
      <c r="C846" s="27"/>
      <c r="D846" s="27"/>
      <c r="E846" s="27"/>
      <c r="F846" s="27"/>
      <c r="G846" s="27"/>
      <c r="H846" s="27"/>
      <c r="I846" s="27"/>
      <c r="J846" s="27"/>
      <c r="K846" s="27"/>
      <c r="L846" s="27"/>
      <c r="M846" s="27"/>
    </row>
    <row r="847" spans="2:13" ht="15">
      <c r="B847" s="8"/>
      <c r="C847" s="27"/>
      <c r="D847" s="27"/>
      <c r="E847" s="27"/>
      <c r="F847" s="27"/>
      <c r="G847" s="27"/>
      <c r="H847" s="27"/>
      <c r="I847" s="27"/>
      <c r="J847" s="27"/>
      <c r="K847" s="27"/>
      <c r="L847" s="27"/>
      <c r="M847" s="27"/>
    </row>
    <row r="848" spans="2:13" ht="15">
      <c r="B848" s="8"/>
      <c r="C848" s="27"/>
      <c r="D848" s="27"/>
      <c r="E848" s="27"/>
      <c r="F848" s="27"/>
      <c r="G848" s="27"/>
      <c r="H848" s="27"/>
      <c r="I848" s="27"/>
      <c r="J848" s="27"/>
      <c r="K848" s="27"/>
      <c r="L848" s="27"/>
      <c r="M848" s="27"/>
    </row>
    <row r="849" spans="2:13" ht="15">
      <c r="B849" s="8"/>
      <c r="C849" s="27"/>
      <c r="D849" s="27"/>
      <c r="E849" s="27"/>
      <c r="F849" s="27"/>
      <c r="G849" s="27"/>
      <c r="H849" s="27"/>
      <c r="I849" s="27"/>
      <c r="J849" s="27"/>
      <c r="K849" s="27"/>
      <c r="L849" s="27"/>
      <c r="M849" s="27"/>
    </row>
    <row r="850" spans="2:13" ht="15">
      <c r="B850" s="8"/>
      <c r="C850" s="27"/>
      <c r="D850" s="27"/>
      <c r="E850" s="27"/>
      <c r="F850" s="27"/>
      <c r="G850" s="27"/>
      <c r="H850" s="27"/>
      <c r="I850" s="27"/>
      <c r="J850" s="27"/>
      <c r="K850" s="27"/>
      <c r="L850" s="27"/>
      <c r="M850" s="27"/>
    </row>
    <row r="851" spans="2:13" ht="15">
      <c r="B851" s="8"/>
      <c r="C851" s="27"/>
      <c r="D851" s="27"/>
      <c r="E851" s="27"/>
      <c r="F851" s="27"/>
      <c r="G851" s="27"/>
      <c r="H851" s="27"/>
      <c r="I851" s="27"/>
      <c r="J851" s="27"/>
      <c r="K851" s="27"/>
      <c r="L851" s="27"/>
      <c r="M851" s="27"/>
    </row>
    <row r="852" spans="2:13" ht="15">
      <c r="B852" s="8"/>
      <c r="C852" s="27"/>
      <c r="D852" s="27"/>
      <c r="E852" s="27"/>
      <c r="F852" s="27"/>
      <c r="G852" s="27"/>
      <c r="H852" s="27"/>
      <c r="I852" s="27"/>
      <c r="J852" s="27"/>
      <c r="K852" s="27"/>
      <c r="L852" s="27"/>
      <c r="M852" s="27"/>
    </row>
    <row r="853" spans="2:13" ht="15">
      <c r="B853" s="8"/>
      <c r="C853" s="27"/>
      <c r="D853" s="27"/>
      <c r="E853" s="27"/>
      <c r="F853" s="27"/>
      <c r="G853" s="27"/>
      <c r="H853" s="27"/>
      <c r="I853" s="27"/>
      <c r="J853" s="27"/>
      <c r="K853" s="27"/>
      <c r="L853" s="27"/>
      <c r="M853" s="27"/>
    </row>
    <row r="854" spans="2:13" ht="15">
      <c r="B854" s="8"/>
      <c r="C854" s="27"/>
      <c r="D854" s="27"/>
      <c r="E854" s="27"/>
      <c r="F854" s="27"/>
      <c r="G854" s="27"/>
      <c r="H854" s="27"/>
      <c r="I854" s="27"/>
      <c r="J854" s="27"/>
      <c r="K854" s="27"/>
      <c r="L854" s="27"/>
      <c r="M854" s="27"/>
    </row>
    <row r="855" spans="2:13" ht="15">
      <c r="B855" s="8"/>
      <c r="C855" s="27"/>
      <c r="D855" s="27"/>
      <c r="E855" s="27"/>
      <c r="F855" s="27"/>
      <c r="G855" s="27"/>
      <c r="H855" s="27"/>
      <c r="I855" s="27"/>
      <c r="J855" s="27"/>
      <c r="K855" s="27"/>
      <c r="L855" s="27"/>
      <c r="M855" s="27"/>
    </row>
    <row r="856" spans="2:13" ht="15">
      <c r="B856" s="8"/>
      <c r="C856" s="27"/>
      <c r="D856" s="27"/>
      <c r="E856" s="27"/>
      <c r="F856" s="27"/>
      <c r="G856" s="27"/>
      <c r="H856" s="27"/>
      <c r="I856" s="27"/>
      <c r="J856" s="27"/>
      <c r="K856" s="27"/>
      <c r="L856" s="27"/>
      <c r="M856" s="27"/>
    </row>
    <row r="857" spans="2:13" ht="15">
      <c r="B857" s="8"/>
      <c r="C857" s="27"/>
      <c r="D857" s="27"/>
      <c r="E857" s="27"/>
      <c r="F857" s="27"/>
      <c r="G857" s="27"/>
      <c r="H857" s="27"/>
      <c r="I857" s="27"/>
      <c r="J857" s="27"/>
      <c r="K857" s="27"/>
      <c r="L857" s="27"/>
      <c r="M857" s="27"/>
    </row>
    <row r="858" spans="2:13" ht="15">
      <c r="B858" s="8"/>
      <c r="C858" s="27"/>
      <c r="D858" s="27"/>
      <c r="E858" s="27"/>
      <c r="F858" s="27"/>
      <c r="G858" s="27"/>
      <c r="H858" s="27"/>
      <c r="I858" s="27"/>
      <c r="J858" s="27"/>
      <c r="K858" s="27"/>
      <c r="L858" s="27"/>
      <c r="M858" s="27"/>
    </row>
    <row r="859" spans="2:13" ht="15">
      <c r="B859" s="8"/>
      <c r="C859" s="27"/>
      <c r="D859" s="27"/>
      <c r="E859" s="27"/>
      <c r="F859" s="27"/>
      <c r="G859" s="27"/>
      <c r="H859" s="27"/>
      <c r="I859" s="27"/>
      <c r="J859" s="27"/>
      <c r="K859" s="27"/>
      <c r="L859" s="27"/>
      <c r="M859" s="27"/>
    </row>
    <row r="860" spans="2:13" ht="15">
      <c r="B860" s="8"/>
      <c r="C860" s="27"/>
      <c r="D860" s="27"/>
      <c r="E860" s="27"/>
      <c r="F860" s="27"/>
      <c r="G860" s="27"/>
      <c r="H860" s="27"/>
      <c r="I860" s="27"/>
      <c r="J860" s="27"/>
      <c r="K860" s="27"/>
      <c r="L860" s="27"/>
      <c r="M860" s="27"/>
    </row>
    <row r="861" spans="2:13" ht="15">
      <c r="B861" s="8"/>
      <c r="C861" s="27"/>
      <c r="D861" s="27"/>
      <c r="E861" s="27"/>
      <c r="F861" s="27"/>
      <c r="G861" s="27"/>
      <c r="H861" s="27"/>
      <c r="I861" s="27"/>
      <c r="J861" s="27"/>
      <c r="K861" s="27"/>
      <c r="L861" s="27"/>
      <c r="M861" s="27"/>
    </row>
    <row r="862" spans="2:13" ht="15">
      <c r="B862" s="8"/>
      <c r="C862" s="27"/>
      <c r="D862" s="27"/>
      <c r="E862" s="27"/>
      <c r="F862" s="27"/>
      <c r="G862" s="27"/>
      <c r="H862" s="27"/>
      <c r="I862" s="27"/>
      <c r="J862" s="27"/>
      <c r="K862" s="27"/>
      <c r="L862" s="27"/>
      <c r="M862" s="27"/>
    </row>
    <row r="863" spans="2:13" ht="15">
      <c r="B863" s="8"/>
      <c r="C863" s="27"/>
      <c r="D863" s="27"/>
      <c r="E863" s="27"/>
      <c r="F863" s="27"/>
      <c r="G863" s="27"/>
      <c r="H863" s="27"/>
      <c r="I863" s="27"/>
      <c r="J863" s="27"/>
      <c r="K863" s="27"/>
      <c r="L863" s="27"/>
      <c r="M863" s="27"/>
    </row>
    <row r="864" spans="2:13" ht="15">
      <c r="B864" s="8"/>
      <c r="C864" s="27"/>
      <c r="D864" s="27"/>
      <c r="E864" s="27"/>
      <c r="F864" s="27"/>
      <c r="G864" s="27"/>
      <c r="H864" s="27"/>
      <c r="I864" s="27"/>
      <c r="J864" s="27"/>
      <c r="K864" s="27"/>
      <c r="L864" s="27"/>
      <c r="M864" s="27"/>
    </row>
    <row r="865" spans="2:13" ht="15">
      <c r="B865" s="8"/>
      <c r="C865" s="27"/>
      <c r="D865" s="27"/>
      <c r="E865" s="27"/>
      <c r="F865" s="27"/>
      <c r="G865" s="27"/>
      <c r="H865" s="27"/>
      <c r="I865" s="27"/>
      <c r="J865" s="27"/>
      <c r="K865" s="27"/>
      <c r="L865" s="27"/>
      <c r="M865" s="27"/>
    </row>
    <row r="866" spans="2:13" ht="15">
      <c r="B866" s="8"/>
      <c r="C866" s="27"/>
      <c r="D866" s="27"/>
      <c r="E866" s="27"/>
      <c r="F866" s="27"/>
      <c r="G866" s="27"/>
      <c r="H866" s="27"/>
      <c r="I866" s="27"/>
      <c r="J866" s="27"/>
      <c r="K866" s="27"/>
      <c r="L866" s="27"/>
      <c r="M866" s="27"/>
    </row>
    <row r="867" spans="2:13" ht="15">
      <c r="B867" s="8"/>
      <c r="C867" s="27"/>
      <c r="D867" s="27"/>
      <c r="E867" s="27"/>
      <c r="F867" s="27"/>
      <c r="G867" s="27"/>
      <c r="H867" s="27"/>
      <c r="I867" s="27"/>
      <c r="J867" s="27"/>
      <c r="K867" s="27"/>
      <c r="L867" s="27"/>
      <c r="M867" s="27"/>
    </row>
    <row r="868" spans="2:13" ht="15">
      <c r="B868" s="8"/>
      <c r="C868" s="27"/>
      <c r="D868" s="27"/>
      <c r="E868" s="27"/>
      <c r="F868" s="27"/>
      <c r="G868" s="27"/>
      <c r="H868" s="27"/>
      <c r="I868" s="27"/>
      <c r="J868" s="27"/>
      <c r="K868" s="27"/>
      <c r="L868" s="27"/>
      <c r="M868" s="27"/>
    </row>
    <row r="869" spans="2:13" ht="15">
      <c r="B869" s="8"/>
      <c r="C869" s="27"/>
      <c r="D869" s="27"/>
      <c r="E869" s="27"/>
      <c r="F869" s="27"/>
      <c r="G869" s="27"/>
      <c r="H869" s="27"/>
      <c r="I869" s="27"/>
      <c r="J869" s="27"/>
      <c r="K869" s="27"/>
      <c r="L869" s="27"/>
      <c r="M869" s="27"/>
    </row>
    <row r="870" spans="2:13" ht="15">
      <c r="B870" s="8"/>
      <c r="C870" s="27"/>
      <c r="D870" s="27"/>
      <c r="E870" s="27"/>
      <c r="F870" s="27"/>
      <c r="G870" s="27"/>
      <c r="H870" s="27"/>
      <c r="I870" s="27"/>
      <c r="J870" s="27"/>
      <c r="K870" s="27"/>
      <c r="L870" s="27"/>
      <c r="M870" s="27"/>
    </row>
    <row r="871" spans="2:13" ht="15">
      <c r="B871" s="8"/>
      <c r="C871" s="27"/>
      <c r="D871" s="27"/>
      <c r="E871" s="27"/>
      <c r="F871" s="27"/>
      <c r="G871" s="27"/>
      <c r="H871" s="27"/>
      <c r="I871" s="27"/>
      <c r="J871" s="27"/>
      <c r="K871" s="27"/>
      <c r="L871" s="27"/>
      <c r="M871" s="27"/>
    </row>
    <row r="872" spans="2:13" ht="15">
      <c r="B872" s="8"/>
      <c r="C872" s="27"/>
      <c r="D872" s="27"/>
      <c r="E872" s="27"/>
      <c r="F872" s="27"/>
      <c r="G872" s="27"/>
      <c r="H872" s="27"/>
      <c r="I872" s="27"/>
      <c r="J872" s="27"/>
      <c r="K872" s="27"/>
      <c r="L872" s="27"/>
      <c r="M872" s="27"/>
    </row>
    <row r="873" spans="2:13" ht="15">
      <c r="B873" s="8"/>
      <c r="C873" s="27"/>
      <c r="D873" s="27"/>
      <c r="E873" s="27"/>
      <c r="F873" s="27"/>
      <c r="G873" s="27"/>
      <c r="H873" s="27"/>
      <c r="I873" s="27"/>
      <c r="J873" s="27"/>
      <c r="K873" s="27"/>
      <c r="L873" s="27"/>
      <c r="M873" s="27"/>
    </row>
    <row r="874" spans="2:13" ht="15">
      <c r="B874" s="8"/>
      <c r="C874" s="27"/>
      <c r="D874" s="27"/>
      <c r="E874" s="27"/>
      <c r="F874" s="27"/>
      <c r="G874" s="27"/>
      <c r="H874" s="27"/>
      <c r="I874" s="27"/>
      <c r="J874" s="27"/>
      <c r="K874" s="27"/>
      <c r="L874" s="27"/>
      <c r="M874" s="27"/>
    </row>
    <row r="875" spans="2:13" ht="15">
      <c r="B875" s="8"/>
      <c r="C875" s="27"/>
      <c r="D875" s="27"/>
      <c r="E875" s="27"/>
      <c r="F875" s="27"/>
      <c r="G875" s="27"/>
      <c r="H875" s="27"/>
      <c r="I875" s="27"/>
      <c r="J875" s="27"/>
      <c r="K875" s="27"/>
      <c r="L875" s="27"/>
      <c r="M875" s="27"/>
    </row>
    <row r="876" spans="2:13" ht="15">
      <c r="B876" s="8"/>
      <c r="C876" s="27"/>
      <c r="D876" s="27"/>
      <c r="E876" s="27"/>
      <c r="F876" s="27"/>
      <c r="G876" s="27"/>
      <c r="H876" s="27"/>
      <c r="I876" s="27"/>
      <c r="J876" s="27"/>
      <c r="K876" s="27"/>
      <c r="L876" s="27"/>
      <c r="M876" s="27"/>
    </row>
    <row r="877" spans="2:13" ht="15">
      <c r="B877" s="8"/>
      <c r="C877" s="27"/>
      <c r="D877" s="27"/>
      <c r="E877" s="27"/>
      <c r="F877" s="27"/>
      <c r="G877" s="27"/>
      <c r="H877" s="27"/>
      <c r="I877" s="27"/>
      <c r="J877" s="27"/>
      <c r="K877" s="27"/>
      <c r="L877" s="27"/>
      <c r="M877" s="27"/>
    </row>
    <row r="878" spans="2:13" ht="15">
      <c r="B878" s="8"/>
      <c r="C878" s="27"/>
      <c r="D878" s="27"/>
      <c r="E878" s="27"/>
      <c r="F878" s="27"/>
      <c r="G878" s="27"/>
      <c r="H878" s="27"/>
      <c r="I878" s="27"/>
      <c r="J878" s="27"/>
      <c r="K878" s="27"/>
      <c r="L878" s="27"/>
      <c r="M878" s="27"/>
    </row>
    <row r="879" spans="2:13" ht="15">
      <c r="B879" s="8"/>
      <c r="C879" s="27"/>
      <c r="D879" s="27"/>
      <c r="E879" s="27"/>
      <c r="F879" s="27"/>
      <c r="G879" s="27"/>
      <c r="H879" s="27"/>
      <c r="I879" s="27"/>
      <c r="J879" s="27"/>
      <c r="K879" s="27"/>
      <c r="L879" s="27"/>
      <c r="M879" s="27"/>
    </row>
    <row r="880" spans="2:13" ht="15">
      <c r="B880" s="8"/>
      <c r="C880" s="27"/>
      <c r="D880" s="27"/>
      <c r="E880" s="27"/>
      <c r="F880" s="27"/>
      <c r="G880" s="27"/>
      <c r="H880" s="27"/>
      <c r="I880" s="27"/>
      <c r="J880" s="27"/>
      <c r="K880" s="27"/>
      <c r="L880" s="27"/>
      <c r="M880" s="27"/>
    </row>
    <row r="881" spans="2:13" ht="15">
      <c r="B881" s="8"/>
      <c r="C881" s="27"/>
      <c r="D881" s="27"/>
      <c r="E881" s="27"/>
      <c r="F881" s="27"/>
      <c r="G881" s="27"/>
      <c r="H881" s="27"/>
      <c r="I881" s="27"/>
      <c r="J881" s="27"/>
      <c r="K881" s="27"/>
      <c r="L881" s="27"/>
      <c r="M881" s="27"/>
    </row>
    <row r="882" spans="2:13" ht="15">
      <c r="B882" s="8"/>
      <c r="C882" s="27"/>
      <c r="D882" s="27"/>
      <c r="E882" s="27"/>
      <c r="F882" s="27"/>
      <c r="G882" s="27"/>
      <c r="H882" s="27"/>
      <c r="I882" s="27"/>
      <c r="J882" s="27"/>
      <c r="K882" s="27"/>
      <c r="L882" s="27"/>
      <c r="M882" s="27"/>
    </row>
    <row r="883" spans="2:13" ht="15">
      <c r="B883" s="8"/>
      <c r="C883" s="27"/>
      <c r="D883" s="27"/>
      <c r="E883" s="27"/>
      <c r="F883" s="27"/>
      <c r="G883" s="27"/>
      <c r="H883" s="27"/>
      <c r="I883" s="27"/>
      <c r="J883" s="27"/>
      <c r="K883" s="27"/>
      <c r="L883" s="27"/>
      <c r="M883" s="27"/>
    </row>
    <row r="884" spans="2:13" ht="15">
      <c r="B884" s="8"/>
      <c r="C884" s="27"/>
      <c r="D884" s="27"/>
      <c r="E884" s="27"/>
      <c r="F884" s="27"/>
      <c r="G884" s="27"/>
      <c r="H884" s="27"/>
      <c r="I884" s="27"/>
      <c r="J884" s="27"/>
      <c r="K884" s="27"/>
      <c r="L884" s="27"/>
      <c r="M884" s="27"/>
    </row>
    <row r="885" spans="2:13" ht="15">
      <c r="B885" s="8"/>
      <c r="C885" s="27"/>
      <c r="D885" s="27"/>
      <c r="E885" s="27"/>
      <c r="F885" s="27"/>
      <c r="G885" s="27"/>
      <c r="H885" s="27"/>
      <c r="I885" s="27"/>
      <c r="J885" s="27"/>
      <c r="K885" s="27"/>
      <c r="L885" s="27"/>
      <c r="M885" s="27"/>
    </row>
    <row r="886" spans="2:13" ht="15">
      <c r="B886" s="8"/>
      <c r="C886" s="27"/>
      <c r="D886" s="27"/>
      <c r="E886" s="27"/>
      <c r="F886" s="27"/>
      <c r="G886" s="27"/>
      <c r="H886" s="27"/>
      <c r="I886" s="27"/>
      <c r="J886" s="27"/>
      <c r="K886" s="27"/>
      <c r="L886" s="27"/>
      <c r="M886" s="27"/>
    </row>
    <row r="887" spans="2:13" ht="15">
      <c r="B887" s="8"/>
      <c r="C887" s="27"/>
      <c r="D887" s="27"/>
      <c r="E887" s="27"/>
      <c r="F887" s="27"/>
      <c r="G887" s="27"/>
      <c r="H887" s="27"/>
      <c r="I887" s="27"/>
      <c r="J887" s="27"/>
      <c r="K887" s="27"/>
      <c r="L887" s="27"/>
      <c r="M887" s="27"/>
    </row>
    <row r="888" spans="2:13" ht="15">
      <c r="B888" s="8"/>
      <c r="C888" s="27"/>
      <c r="D888" s="27"/>
      <c r="E888" s="27"/>
      <c r="F888" s="27"/>
      <c r="G888" s="27"/>
      <c r="H888" s="27"/>
      <c r="I888" s="27"/>
      <c r="J888" s="27"/>
      <c r="K888" s="27"/>
      <c r="L888" s="27"/>
      <c r="M888" s="27"/>
    </row>
    <row r="889" spans="2:13" ht="15">
      <c r="B889" s="8"/>
      <c r="C889" s="27"/>
      <c r="D889" s="27"/>
      <c r="E889" s="27"/>
      <c r="F889" s="27"/>
      <c r="G889" s="27"/>
      <c r="H889" s="27"/>
      <c r="I889" s="27"/>
      <c r="J889" s="27"/>
      <c r="K889" s="27"/>
      <c r="L889" s="27"/>
      <c r="M889" s="27"/>
    </row>
    <row r="890" spans="2:13" ht="15">
      <c r="B890" s="8"/>
      <c r="C890" s="27"/>
      <c r="D890" s="27"/>
      <c r="E890" s="27"/>
      <c r="F890" s="27"/>
      <c r="G890" s="27"/>
      <c r="H890" s="27"/>
      <c r="I890" s="27"/>
      <c r="J890" s="27"/>
      <c r="K890" s="27"/>
      <c r="L890" s="27"/>
      <c r="M890" s="27"/>
    </row>
    <row r="891" spans="2:13" ht="15">
      <c r="B891" s="8"/>
      <c r="C891" s="27"/>
      <c r="D891" s="27"/>
      <c r="E891" s="27"/>
      <c r="F891" s="27"/>
      <c r="G891" s="27"/>
      <c r="H891" s="27"/>
      <c r="I891" s="27"/>
      <c r="J891" s="27"/>
      <c r="K891" s="27"/>
      <c r="L891" s="27"/>
      <c r="M891" s="27"/>
    </row>
    <row r="892" spans="2:13" ht="15">
      <c r="B892" s="8"/>
      <c r="C892" s="27"/>
      <c r="D892" s="27"/>
      <c r="E892" s="27"/>
      <c r="F892" s="27"/>
      <c r="G892" s="27"/>
      <c r="H892" s="27"/>
      <c r="I892" s="27"/>
      <c r="J892" s="27"/>
      <c r="K892" s="27"/>
      <c r="L892" s="27"/>
      <c r="M892" s="27"/>
    </row>
    <row r="893" spans="2:13" ht="15">
      <c r="B893" s="8"/>
      <c r="C893" s="27"/>
      <c r="D893" s="27"/>
      <c r="E893" s="27"/>
      <c r="F893" s="27"/>
      <c r="G893" s="27"/>
      <c r="H893" s="27"/>
      <c r="I893" s="27"/>
      <c r="J893" s="27"/>
      <c r="K893" s="27"/>
      <c r="L893" s="27"/>
      <c r="M893" s="27"/>
    </row>
    <row r="894" spans="2:13" ht="15">
      <c r="B894" s="8"/>
      <c r="C894" s="27"/>
      <c r="D894" s="27"/>
      <c r="E894" s="27"/>
      <c r="F894" s="27"/>
      <c r="G894" s="27"/>
      <c r="H894" s="27"/>
      <c r="I894" s="27"/>
      <c r="J894" s="27"/>
      <c r="K894" s="27"/>
      <c r="L894" s="27"/>
      <c r="M894" s="27"/>
    </row>
    <row r="895" spans="2:13" ht="15">
      <c r="B895" s="8"/>
      <c r="C895" s="27"/>
      <c r="D895" s="27"/>
      <c r="E895" s="27"/>
      <c r="F895" s="27"/>
      <c r="G895" s="27"/>
      <c r="H895" s="27"/>
      <c r="I895" s="27"/>
      <c r="J895" s="27"/>
      <c r="K895" s="27"/>
      <c r="L895" s="27"/>
      <c r="M895" s="27"/>
    </row>
    <row r="896" spans="2:13" ht="15">
      <c r="B896" s="8"/>
      <c r="C896" s="27"/>
      <c r="D896" s="27"/>
      <c r="E896" s="27"/>
      <c r="F896" s="27"/>
      <c r="G896" s="27"/>
      <c r="H896" s="27"/>
      <c r="I896" s="27"/>
      <c r="J896" s="27"/>
      <c r="K896" s="27"/>
      <c r="L896" s="27"/>
      <c r="M896" s="27"/>
    </row>
    <row r="897" spans="2:13" ht="15">
      <c r="B897" s="8"/>
      <c r="C897" s="27"/>
      <c r="D897" s="27"/>
      <c r="E897" s="27"/>
      <c r="F897" s="27"/>
      <c r="G897" s="27"/>
      <c r="H897" s="27"/>
      <c r="I897" s="27"/>
      <c r="J897" s="27"/>
      <c r="K897" s="27"/>
      <c r="L897" s="27"/>
      <c r="M897" s="27"/>
    </row>
    <row r="898" spans="2:13" ht="15">
      <c r="B898" s="8"/>
      <c r="C898" s="27"/>
      <c r="D898" s="27"/>
      <c r="E898" s="27"/>
      <c r="F898" s="27"/>
      <c r="G898" s="27"/>
      <c r="H898" s="27"/>
      <c r="I898" s="27"/>
      <c r="J898" s="27"/>
      <c r="K898" s="27"/>
      <c r="L898" s="27"/>
      <c r="M898" s="27"/>
    </row>
    <row r="899" spans="2:13" ht="15">
      <c r="B899" s="8"/>
      <c r="C899" s="27"/>
      <c r="D899" s="27"/>
      <c r="E899" s="27"/>
      <c r="F899" s="27"/>
      <c r="G899" s="27"/>
      <c r="H899" s="27"/>
      <c r="I899" s="27"/>
      <c r="J899" s="27"/>
      <c r="K899" s="27"/>
      <c r="L899" s="27"/>
      <c r="M899" s="27"/>
    </row>
    <row r="900" spans="2:13" ht="15">
      <c r="B900" s="8"/>
      <c r="C900" s="27"/>
      <c r="D900" s="27"/>
      <c r="E900" s="27"/>
      <c r="F900" s="27"/>
      <c r="G900" s="27"/>
      <c r="H900" s="27"/>
      <c r="I900" s="27"/>
      <c r="J900" s="27"/>
      <c r="K900" s="27"/>
      <c r="L900" s="27"/>
      <c r="M900" s="27"/>
    </row>
    <row r="901" spans="2:13" ht="15">
      <c r="B901" s="8"/>
      <c r="C901" s="27"/>
      <c r="D901" s="27"/>
      <c r="E901" s="27"/>
      <c r="F901" s="27"/>
      <c r="G901" s="27"/>
      <c r="H901" s="27"/>
      <c r="I901" s="27"/>
      <c r="J901" s="27"/>
      <c r="K901" s="27"/>
      <c r="L901" s="27"/>
      <c r="M901" s="27"/>
    </row>
    <row r="902" spans="2:13" ht="15">
      <c r="B902" s="8"/>
      <c r="C902" s="27"/>
      <c r="D902" s="27"/>
      <c r="E902" s="27"/>
      <c r="F902" s="27"/>
      <c r="G902" s="27"/>
      <c r="H902" s="27"/>
      <c r="I902" s="27"/>
      <c r="J902" s="27"/>
      <c r="K902" s="27"/>
      <c r="L902" s="27"/>
      <c r="M902" s="27"/>
    </row>
    <row r="903" spans="2:13" ht="15">
      <c r="B903" s="8"/>
      <c r="C903" s="27"/>
      <c r="D903" s="27"/>
      <c r="E903" s="27"/>
      <c r="F903" s="27"/>
      <c r="G903" s="27"/>
      <c r="H903" s="27"/>
      <c r="I903" s="27"/>
      <c r="J903" s="27"/>
      <c r="K903" s="27"/>
      <c r="L903" s="27"/>
      <c r="M903" s="27"/>
    </row>
    <row r="904" spans="2:13" ht="15">
      <c r="B904" s="8"/>
      <c r="C904" s="27"/>
      <c r="D904" s="27"/>
      <c r="E904" s="27"/>
      <c r="F904" s="27"/>
      <c r="G904" s="27"/>
      <c r="H904" s="27"/>
      <c r="I904" s="27"/>
      <c r="J904" s="27"/>
      <c r="K904" s="27"/>
      <c r="L904" s="27"/>
      <c r="M904" s="27"/>
    </row>
    <row r="905" spans="2:13" ht="15">
      <c r="B905" s="8"/>
      <c r="C905" s="27"/>
      <c r="D905" s="27"/>
      <c r="E905" s="27"/>
      <c r="F905" s="27"/>
      <c r="G905" s="27"/>
      <c r="H905" s="27"/>
      <c r="I905" s="27"/>
      <c r="J905" s="27"/>
      <c r="K905" s="27"/>
      <c r="L905" s="27"/>
      <c r="M905" s="27"/>
    </row>
    <row r="906" spans="2:13" ht="15">
      <c r="B906" s="8"/>
      <c r="C906" s="27"/>
      <c r="D906" s="27"/>
      <c r="E906" s="27"/>
      <c r="F906" s="27"/>
      <c r="G906" s="27"/>
      <c r="H906" s="27"/>
      <c r="I906" s="27"/>
      <c r="J906" s="27"/>
      <c r="K906" s="27"/>
      <c r="L906" s="27"/>
      <c r="M906" s="27"/>
    </row>
    <row r="907" spans="2:13" ht="15">
      <c r="B907" s="8"/>
      <c r="C907" s="27"/>
      <c r="D907" s="27"/>
      <c r="E907" s="27"/>
      <c r="F907" s="27"/>
      <c r="G907" s="27"/>
      <c r="H907" s="27"/>
      <c r="I907" s="27"/>
      <c r="J907" s="27"/>
      <c r="K907" s="27"/>
      <c r="L907" s="27"/>
      <c r="M907" s="27"/>
    </row>
    <row r="908" spans="2:13" ht="15">
      <c r="B908" s="8"/>
      <c r="C908" s="27"/>
      <c r="D908" s="27"/>
      <c r="E908" s="27"/>
      <c r="F908" s="27"/>
      <c r="G908" s="27"/>
      <c r="H908" s="27"/>
      <c r="I908" s="27"/>
      <c r="J908" s="27"/>
      <c r="K908" s="27"/>
      <c r="L908" s="27"/>
      <c r="M908" s="27"/>
    </row>
    <row r="909" spans="2:13" ht="15">
      <c r="B909" s="8"/>
      <c r="C909" s="27"/>
      <c r="D909" s="27"/>
      <c r="E909" s="27"/>
      <c r="F909" s="27"/>
      <c r="G909" s="27"/>
      <c r="H909" s="27"/>
      <c r="I909" s="27"/>
      <c r="J909" s="27"/>
      <c r="K909" s="27"/>
      <c r="L909" s="27"/>
      <c r="M909" s="27"/>
    </row>
    <row r="910" spans="2:13" ht="15">
      <c r="B910" s="8"/>
      <c r="C910" s="27"/>
      <c r="D910" s="27"/>
      <c r="E910" s="27"/>
      <c r="F910" s="27"/>
      <c r="G910" s="27"/>
      <c r="H910" s="27"/>
      <c r="I910" s="27"/>
      <c r="J910" s="27"/>
      <c r="K910" s="27"/>
      <c r="L910" s="27"/>
      <c r="M910" s="27"/>
    </row>
    <row r="911" spans="2:13" ht="15">
      <c r="B911" s="8"/>
      <c r="C911" s="27"/>
      <c r="D911" s="27"/>
      <c r="E911" s="27"/>
      <c r="F911" s="27"/>
      <c r="G911" s="27"/>
      <c r="H911" s="27"/>
      <c r="I911" s="27"/>
      <c r="J911" s="27"/>
      <c r="K911" s="27"/>
      <c r="L911" s="27"/>
      <c r="M911" s="27"/>
    </row>
    <row r="912" spans="2:13" ht="15">
      <c r="B912" s="8"/>
      <c r="C912" s="27"/>
      <c r="D912" s="27"/>
      <c r="E912" s="27"/>
      <c r="F912" s="27"/>
      <c r="G912" s="27"/>
      <c r="H912" s="27"/>
      <c r="I912" s="27"/>
      <c r="J912" s="27"/>
      <c r="K912" s="27"/>
      <c r="L912" s="27"/>
      <c r="M912" s="27"/>
    </row>
    <row r="913" spans="2:13" ht="15">
      <c r="B913" s="8"/>
      <c r="C913" s="27"/>
      <c r="D913" s="27"/>
      <c r="E913" s="27"/>
      <c r="F913" s="27"/>
      <c r="G913" s="27"/>
      <c r="H913" s="27"/>
      <c r="I913" s="27"/>
      <c r="J913" s="27"/>
      <c r="K913" s="27"/>
      <c r="L913" s="27"/>
      <c r="M913" s="27"/>
    </row>
    <row r="914" spans="2:13" ht="15">
      <c r="B914" s="8"/>
      <c r="C914" s="27"/>
      <c r="D914" s="27"/>
      <c r="E914" s="27"/>
      <c r="F914" s="27"/>
      <c r="G914" s="27"/>
      <c r="H914" s="27"/>
      <c r="I914" s="27"/>
      <c r="J914" s="27"/>
      <c r="K914" s="27"/>
      <c r="L914" s="27"/>
      <c r="M914" s="27"/>
    </row>
    <row r="915" spans="2:13" ht="15">
      <c r="B915" s="8"/>
      <c r="C915" s="27"/>
      <c r="D915" s="27"/>
      <c r="E915" s="27"/>
      <c r="F915" s="27"/>
      <c r="G915" s="27"/>
      <c r="H915" s="27"/>
      <c r="I915" s="27"/>
      <c r="J915" s="27"/>
      <c r="K915" s="27"/>
      <c r="L915" s="27"/>
      <c r="M915" s="27"/>
    </row>
    <row r="916" spans="2:13" ht="15">
      <c r="B916" s="8"/>
      <c r="C916" s="27"/>
      <c r="D916" s="27"/>
      <c r="E916" s="27"/>
      <c r="F916" s="27"/>
      <c r="G916" s="27"/>
      <c r="H916" s="27"/>
      <c r="I916" s="27"/>
      <c r="J916" s="27"/>
      <c r="K916" s="27"/>
      <c r="L916" s="27"/>
      <c r="M916" s="27"/>
    </row>
    <row r="917" spans="2:13" ht="15">
      <c r="B917" s="8"/>
      <c r="C917" s="27"/>
      <c r="D917" s="27"/>
      <c r="E917" s="27"/>
      <c r="F917" s="27"/>
      <c r="G917" s="27"/>
      <c r="H917" s="27"/>
      <c r="I917" s="27"/>
      <c r="J917" s="27"/>
      <c r="K917" s="27"/>
      <c r="L917" s="27"/>
      <c r="M917" s="27"/>
    </row>
    <row r="918" spans="2:13" ht="15">
      <c r="B918" s="8"/>
      <c r="C918" s="27"/>
      <c r="D918" s="27"/>
      <c r="E918" s="27"/>
      <c r="F918" s="27"/>
      <c r="G918" s="27"/>
      <c r="H918" s="27"/>
      <c r="I918" s="27"/>
      <c r="J918" s="27"/>
      <c r="K918" s="27"/>
      <c r="L918" s="27"/>
      <c r="M918" s="27"/>
    </row>
    <row r="919" spans="2:13" ht="15">
      <c r="B919" s="8"/>
      <c r="C919" s="27"/>
      <c r="D919" s="27"/>
      <c r="E919" s="27"/>
      <c r="F919" s="27"/>
      <c r="G919" s="27"/>
      <c r="H919" s="27"/>
      <c r="I919" s="27"/>
      <c r="J919" s="27"/>
      <c r="K919" s="27"/>
      <c r="L919" s="27"/>
      <c r="M919" s="27"/>
    </row>
    <row r="920" spans="2:13" ht="15">
      <c r="B920" s="8"/>
      <c r="C920" s="27"/>
      <c r="D920" s="27"/>
      <c r="E920" s="27"/>
      <c r="F920" s="27"/>
      <c r="G920" s="27"/>
      <c r="H920" s="27"/>
      <c r="I920" s="27"/>
      <c r="J920" s="27"/>
      <c r="K920" s="27"/>
      <c r="L920" s="27"/>
      <c r="M920" s="27"/>
    </row>
    <row r="921" spans="2:13" ht="15">
      <c r="B921" s="8"/>
      <c r="C921" s="27"/>
      <c r="D921" s="27"/>
      <c r="E921" s="27"/>
      <c r="F921" s="27"/>
      <c r="G921" s="27"/>
      <c r="H921" s="27"/>
      <c r="I921" s="27"/>
      <c r="J921" s="27"/>
      <c r="K921" s="27"/>
      <c r="L921" s="27"/>
      <c r="M921" s="27"/>
    </row>
    <row r="922" spans="2:13" ht="15">
      <c r="B922" s="8"/>
      <c r="C922" s="27"/>
      <c r="D922" s="27"/>
      <c r="E922" s="27"/>
      <c r="F922" s="27"/>
      <c r="G922" s="27"/>
      <c r="H922" s="27"/>
      <c r="I922" s="27"/>
      <c r="J922" s="27"/>
      <c r="K922" s="27"/>
      <c r="L922" s="27"/>
      <c r="M922" s="27"/>
    </row>
    <row r="923" spans="2:13" ht="15">
      <c r="B923" s="8"/>
      <c r="C923" s="27"/>
      <c r="D923" s="27"/>
      <c r="E923" s="27"/>
      <c r="F923" s="27"/>
      <c r="G923" s="27"/>
      <c r="H923" s="27"/>
      <c r="I923" s="27"/>
      <c r="J923" s="27"/>
      <c r="K923" s="27"/>
      <c r="L923" s="27"/>
      <c r="M923" s="27"/>
    </row>
    <row r="924" spans="2:13" ht="15">
      <c r="B924" s="8"/>
      <c r="C924" s="27"/>
      <c r="D924" s="27"/>
      <c r="E924" s="27"/>
      <c r="F924" s="27"/>
      <c r="G924" s="27"/>
      <c r="H924" s="27"/>
      <c r="I924" s="27"/>
      <c r="J924" s="27"/>
      <c r="K924" s="27"/>
      <c r="L924" s="27"/>
      <c r="M924" s="27"/>
    </row>
    <row r="925" spans="2:13" ht="15">
      <c r="B925" s="8"/>
      <c r="C925" s="27"/>
      <c r="D925" s="27"/>
      <c r="E925" s="27"/>
      <c r="F925" s="27"/>
      <c r="G925" s="27"/>
      <c r="H925" s="27"/>
      <c r="I925" s="27"/>
      <c r="J925" s="27"/>
      <c r="K925" s="27"/>
      <c r="L925" s="27"/>
      <c r="M925" s="27"/>
    </row>
    <row r="926" spans="2:13" ht="15">
      <c r="B926" s="8"/>
      <c r="C926" s="27"/>
      <c r="D926" s="27"/>
      <c r="E926" s="27"/>
      <c r="F926" s="27"/>
      <c r="G926" s="27"/>
      <c r="H926" s="27"/>
      <c r="I926" s="27"/>
      <c r="J926" s="27"/>
      <c r="K926" s="27"/>
      <c r="L926" s="27"/>
      <c r="M926" s="27"/>
    </row>
    <row r="927" spans="2:13" ht="15">
      <c r="B927" s="8"/>
      <c r="C927" s="27"/>
      <c r="D927" s="27"/>
      <c r="E927" s="27"/>
      <c r="F927" s="27"/>
      <c r="G927" s="27"/>
      <c r="H927" s="27"/>
      <c r="I927" s="27"/>
      <c r="J927" s="27"/>
      <c r="K927" s="27"/>
      <c r="L927" s="27"/>
      <c r="M927" s="27"/>
    </row>
    <row r="928" spans="2:13" ht="15">
      <c r="B928" s="8"/>
      <c r="C928" s="27"/>
      <c r="D928" s="27"/>
      <c r="E928" s="27"/>
      <c r="F928" s="27"/>
      <c r="G928" s="27"/>
      <c r="H928" s="27"/>
      <c r="I928" s="27"/>
      <c r="J928" s="27"/>
      <c r="K928" s="27"/>
      <c r="L928" s="27"/>
      <c r="M928" s="27"/>
    </row>
    <row r="929" spans="2:13" ht="15">
      <c r="B929" s="8"/>
      <c r="C929" s="27"/>
      <c r="D929" s="27"/>
      <c r="E929" s="27"/>
      <c r="F929" s="27"/>
      <c r="G929" s="27"/>
      <c r="H929" s="27"/>
      <c r="I929" s="27"/>
      <c r="J929" s="27"/>
      <c r="K929" s="27"/>
      <c r="L929" s="27"/>
      <c r="M929" s="27"/>
    </row>
    <row r="930" spans="2:13" ht="15">
      <c r="B930" s="8"/>
      <c r="C930" s="27"/>
      <c r="D930" s="27"/>
      <c r="E930" s="27"/>
      <c r="F930" s="27"/>
      <c r="G930" s="27"/>
      <c r="H930" s="27"/>
      <c r="I930" s="27"/>
      <c r="J930" s="27"/>
      <c r="K930" s="27"/>
      <c r="L930" s="27"/>
      <c r="M930" s="27"/>
    </row>
    <row r="931" spans="2:13" ht="15">
      <c r="B931" s="8"/>
      <c r="C931" s="27"/>
      <c r="D931" s="27"/>
      <c r="E931" s="27"/>
      <c r="F931" s="27"/>
      <c r="G931" s="27"/>
      <c r="H931" s="27"/>
      <c r="I931" s="27"/>
      <c r="J931" s="27"/>
      <c r="K931" s="27"/>
      <c r="L931" s="27"/>
      <c r="M931" s="27"/>
    </row>
    <row r="932" spans="2:13" ht="15">
      <c r="B932" s="8"/>
      <c r="C932" s="27"/>
      <c r="D932" s="27"/>
      <c r="E932" s="27"/>
      <c r="F932" s="27"/>
      <c r="G932" s="27"/>
      <c r="H932" s="27"/>
      <c r="I932" s="27"/>
      <c r="J932" s="27"/>
      <c r="K932" s="27"/>
      <c r="L932" s="27"/>
      <c r="M932" s="27"/>
    </row>
    <row r="933" spans="2:13" ht="15">
      <c r="B933" s="8"/>
      <c r="C933" s="27"/>
      <c r="D933" s="27"/>
      <c r="E933" s="27"/>
      <c r="F933" s="27"/>
      <c r="G933" s="27"/>
      <c r="H933" s="27"/>
      <c r="I933" s="27"/>
      <c r="J933" s="27"/>
      <c r="K933" s="27"/>
      <c r="L933" s="27"/>
      <c r="M933" s="27"/>
    </row>
    <row r="934" spans="2:13" ht="15">
      <c r="B934" s="8"/>
      <c r="C934" s="27"/>
      <c r="D934" s="27"/>
      <c r="E934" s="27"/>
      <c r="F934" s="27"/>
      <c r="G934" s="27"/>
      <c r="H934" s="27"/>
      <c r="I934" s="27"/>
      <c r="J934" s="27"/>
      <c r="K934" s="27"/>
      <c r="L934" s="27"/>
      <c r="M934" s="27"/>
    </row>
    <row r="935" spans="2:13" ht="15">
      <c r="B935" s="8"/>
      <c r="C935" s="27"/>
      <c r="D935" s="27"/>
      <c r="E935" s="27"/>
      <c r="F935" s="27"/>
      <c r="G935" s="27"/>
      <c r="H935" s="27"/>
      <c r="I935" s="27"/>
      <c r="J935" s="27"/>
      <c r="K935" s="27"/>
      <c r="L935" s="27"/>
      <c r="M935" s="27"/>
    </row>
    <row r="936" spans="2:13" ht="15">
      <c r="B936" s="8"/>
      <c r="C936" s="27"/>
      <c r="D936" s="27"/>
      <c r="E936" s="27"/>
      <c r="F936" s="27"/>
      <c r="G936" s="27"/>
      <c r="H936" s="27"/>
      <c r="I936" s="27"/>
      <c r="J936" s="27"/>
      <c r="K936" s="27"/>
      <c r="L936" s="27"/>
      <c r="M936" s="27"/>
    </row>
    <row r="937" spans="2:13" ht="15">
      <c r="B937" s="8"/>
      <c r="C937" s="27"/>
      <c r="D937" s="27"/>
      <c r="E937" s="27"/>
      <c r="F937" s="27"/>
      <c r="G937" s="27"/>
      <c r="H937" s="27"/>
      <c r="I937" s="27"/>
      <c r="J937" s="27"/>
      <c r="K937" s="27"/>
      <c r="L937" s="27"/>
      <c r="M937" s="27"/>
    </row>
    <row r="938" spans="2:13" ht="15">
      <c r="B938" s="8"/>
      <c r="C938" s="27"/>
      <c r="D938" s="27"/>
      <c r="E938" s="27"/>
      <c r="F938" s="27"/>
      <c r="G938" s="27"/>
      <c r="H938" s="27"/>
      <c r="I938" s="27"/>
      <c r="J938" s="27"/>
      <c r="K938" s="27"/>
      <c r="L938" s="27"/>
      <c r="M938" s="27"/>
    </row>
    <row r="939" spans="2:13" ht="15">
      <c r="B939" s="8"/>
      <c r="C939" s="27"/>
      <c r="D939" s="27"/>
      <c r="E939" s="27"/>
      <c r="F939" s="27"/>
      <c r="G939" s="27"/>
      <c r="H939" s="27"/>
      <c r="I939" s="27"/>
      <c r="J939" s="27"/>
      <c r="K939" s="27"/>
      <c r="L939" s="27"/>
      <c r="M939" s="27"/>
    </row>
    <row r="940" spans="2:13" ht="15">
      <c r="B940" s="8"/>
      <c r="C940" s="27"/>
      <c r="D940" s="27"/>
      <c r="E940" s="27"/>
      <c r="F940" s="27"/>
      <c r="G940" s="27"/>
      <c r="H940" s="27"/>
      <c r="I940" s="27"/>
      <c r="J940" s="27"/>
      <c r="K940" s="27"/>
      <c r="L940" s="27"/>
      <c r="M940" s="27"/>
    </row>
    <row r="941" spans="2:13" ht="15">
      <c r="B941" s="8"/>
      <c r="C941" s="27"/>
      <c r="D941" s="27"/>
      <c r="E941" s="27"/>
      <c r="F941" s="27"/>
      <c r="G941" s="27"/>
      <c r="H941" s="27"/>
      <c r="I941" s="27"/>
      <c r="J941" s="27"/>
      <c r="K941" s="27"/>
      <c r="L941" s="27"/>
      <c r="M941" s="27"/>
    </row>
    <row r="942" spans="2:13" ht="15">
      <c r="B942" s="8"/>
      <c r="C942" s="27"/>
      <c r="D942" s="27"/>
      <c r="E942" s="27"/>
      <c r="F942" s="27"/>
      <c r="G942" s="27"/>
      <c r="H942" s="27"/>
      <c r="I942" s="27"/>
      <c r="J942" s="27"/>
      <c r="K942" s="27"/>
      <c r="L942" s="27"/>
      <c r="M942" s="27"/>
    </row>
    <row r="943" spans="2:13" ht="15">
      <c r="B943" s="8"/>
      <c r="C943" s="27"/>
      <c r="D943" s="27"/>
      <c r="E943" s="27"/>
      <c r="F943" s="27"/>
      <c r="G943" s="27"/>
      <c r="H943" s="27"/>
      <c r="I943" s="27"/>
      <c r="J943" s="27"/>
      <c r="K943" s="27"/>
      <c r="L943" s="27"/>
      <c r="M943" s="27"/>
    </row>
    <row r="944" spans="2:13" ht="15">
      <c r="B944" s="8"/>
      <c r="C944" s="27"/>
      <c r="D944" s="27"/>
      <c r="E944" s="27"/>
      <c r="F944" s="27"/>
      <c r="G944" s="27"/>
      <c r="H944" s="27"/>
      <c r="I944" s="27"/>
      <c r="J944" s="27"/>
      <c r="K944" s="27"/>
      <c r="L944" s="27"/>
      <c r="M944" s="27"/>
    </row>
    <row r="945" spans="2:13" ht="15">
      <c r="B945" s="8"/>
      <c r="C945" s="27"/>
      <c r="D945" s="27"/>
      <c r="E945" s="27"/>
      <c r="F945" s="27"/>
      <c r="G945" s="27"/>
      <c r="H945" s="27"/>
      <c r="I945" s="27"/>
      <c r="J945" s="27"/>
      <c r="K945" s="27"/>
      <c r="L945" s="27"/>
      <c r="M945" s="27"/>
    </row>
    <row r="946" spans="2:13" ht="15">
      <c r="B946" s="8"/>
      <c r="C946" s="27"/>
      <c r="D946" s="27"/>
      <c r="E946" s="27"/>
      <c r="F946" s="27"/>
      <c r="G946" s="27"/>
      <c r="H946" s="27"/>
      <c r="I946" s="27"/>
      <c r="J946" s="27"/>
      <c r="K946" s="27"/>
      <c r="L946" s="27"/>
      <c r="M946" s="27"/>
    </row>
    <row r="947" spans="2:13" ht="15">
      <c r="B947" s="8"/>
      <c r="C947" s="27"/>
      <c r="D947" s="27"/>
      <c r="E947" s="27"/>
      <c r="F947" s="27"/>
      <c r="G947" s="27"/>
      <c r="H947" s="27"/>
      <c r="I947" s="27"/>
      <c r="J947" s="27"/>
      <c r="K947" s="27"/>
      <c r="L947" s="27"/>
      <c r="M947" s="27"/>
    </row>
    <row r="948" spans="2:13" ht="15">
      <c r="B948" s="8"/>
      <c r="C948" s="27"/>
      <c r="D948" s="27"/>
      <c r="E948" s="27"/>
      <c r="F948" s="27"/>
      <c r="G948" s="27"/>
      <c r="H948" s="27"/>
      <c r="I948" s="27"/>
      <c r="J948" s="27"/>
      <c r="K948" s="27"/>
      <c r="L948" s="27"/>
      <c r="M948" s="27"/>
    </row>
    <row r="949" spans="2:13" ht="15">
      <c r="B949" s="8"/>
      <c r="C949" s="27"/>
      <c r="D949" s="27"/>
      <c r="E949" s="27"/>
      <c r="F949" s="27"/>
      <c r="G949" s="27"/>
      <c r="H949" s="27"/>
      <c r="I949" s="27"/>
      <c r="J949" s="27"/>
      <c r="K949" s="27"/>
      <c r="L949" s="27"/>
      <c r="M949" s="27"/>
    </row>
    <row r="950" spans="2:13" ht="15">
      <c r="B950" s="8"/>
      <c r="C950" s="27"/>
      <c r="D950" s="27"/>
      <c r="E950" s="27"/>
      <c r="F950" s="27"/>
      <c r="G950" s="27"/>
      <c r="H950" s="27"/>
      <c r="I950" s="27"/>
      <c r="J950" s="27"/>
      <c r="K950" s="27"/>
      <c r="L950" s="27"/>
      <c r="M950" s="27"/>
    </row>
    <row r="951" spans="2:13" ht="15">
      <c r="B951" s="8"/>
      <c r="C951" s="27"/>
      <c r="D951" s="27"/>
      <c r="E951" s="27"/>
      <c r="F951" s="27"/>
      <c r="G951" s="27"/>
      <c r="H951" s="27"/>
      <c r="I951" s="27"/>
      <c r="J951" s="27"/>
      <c r="K951" s="27"/>
      <c r="L951" s="27"/>
      <c r="M951" s="27"/>
    </row>
    <row r="952" spans="2:13" ht="15">
      <c r="B952" s="8"/>
      <c r="C952" s="27"/>
      <c r="D952" s="27"/>
      <c r="E952" s="27"/>
      <c r="F952" s="27"/>
      <c r="G952" s="27"/>
      <c r="H952" s="27"/>
      <c r="I952" s="27"/>
      <c r="J952" s="27"/>
      <c r="K952" s="27"/>
      <c r="L952" s="27"/>
      <c r="M952" s="27"/>
    </row>
    <row r="953" spans="2:13" ht="15">
      <c r="B953" s="8"/>
      <c r="C953" s="27"/>
      <c r="D953" s="27"/>
      <c r="E953" s="27"/>
      <c r="F953" s="27"/>
      <c r="G953" s="27"/>
      <c r="H953" s="27"/>
      <c r="I953" s="27"/>
      <c r="J953" s="27"/>
      <c r="K953" s="27"/>
      <c r="L953" s="27"/>
      <c r="M953" s="27"/>
    </row>
    <row r="954" spans="2:13" ht="15">
      <c r="B954" s="8"/>
      <c r="C954" s="27"/>
      <c r="D954" s="27"/>
      <c r="E954" s="27"/>
      <c r="F954" s="27"/>
      <c r="G954" s="27"/>
      <c r="H954" s="27"/>
      <c r="I954" s="27"/>
      <c r="J954" s="27"/>
      <c r="K954" s="27"/>
      <c r="L954" s="27"/>
      <c r="M954" s="27"/>
    </row>
    <row r="955" spans="2:13" ht="15">
      <c r="B955" s="8"/>
      <c r="C955" s="27"/>
      <c r="D955" s="27"/>
      <c r="E955" s="27"/>
      <c r="F955" s="27"/>
      <c r="G955" s="27"/>
      <c r="H955" s="27"/>
      <c r="I955" s="27"/>
      <c r="J955" s="27"/>
      <c r="K955" s="27"/>
      <c r="L955" s="27"/>
      <c r="M955" s="27"/>
    </row>
    <row r="956" spans="2:13" ht="15">
      <c r="B956" s="8"/>
      <c r="C956" s="27"/>
      <c r="D956" s="27"/>
      <c r="E956" s="27"/>
      <c r="F956" s="27"/>
      <c r="G956" s="27"/>
      <c r="H956" s="27"/>
      <c r="I956" s="27"/>
      <c r="J956" s="27"/>
      <c r="K956" s="27"/>
      <c r="L956" s="27"/>
      <c r="M956" s="27"/>
    </row>
    <row r="957" spans="2:13" ht="15">
      <c r="B957" s="8"/>
      <c r="C957" s="27"/>
      <c r="D957" s="27"/>
      <c r="E957" s="27"/>
      <c r="F957" s="27"/>
      <c r="G957" s="27"/>
      <c r="H957" s="27"/>
      <c r="I957" s="27"/>
      <c r="J957" s="27"/>
      <c r="K957" s="27"/>
      <c r="L957" s="27"/>
      <c r="M957" s="27"/>
    </row>
    <row r="958" spans="2:13" ht="15">
      <c r="B958" s="8"/>
      <c r="C958" s="27"/>
      <c r="D958" s="27"/>
      <c r="E958" s="27"/>
      <c r="F958" s="27"/>
      <c r="G958" s="27"/>
      <c r="H958" s="27"/>
      <c r="I958" s="27"/>
      <c r="J958" s="27"/>
      <c r="K958" s="27"/>
      <c r="L958" s="27"/>
      <c r="M958" s="27"/>
    </row>
    <row r="959" spans="2:13" ht="15">
      <c r="B959" s="8"/>
      <c r="C959" s="27"/>
      <c r="D959" s="27"/>
      <c r="E959" s="27"/>
      <c r="F959" s="27"/>
      <c r="G959" s="27"/>
      <c r="H959" s="27"/>
      <c r="I959" s="27"/>
      <c r="J959" s="27"/>
      <c r="K959" s="27"/>
      <c r="L959" s="27"/>
      <c r="M959" s="27"/>
    </row>
    <row r="960" spans="2:13" ht="15">
      <c r="B960" s="8"/>
      <c r="C960" s="27"/>
      <c r="D960" s="27"/>
      <c r="E960" s="27"/>
      <c r="F960" s="27"/>
      <c r="G960" s="27"/>
      <c r="H960" s="27"/>
      <c r="I960" s="27"/>
      <c r="J960" s="27"/>
      <c r="K960" s="27"/>
      <c r="L960" s="27"/>
      <c r="M960" s="27"/>
    </row>
    <row r="961" spans="2:13" ht="15">
      <c r="B961" s="8"/>
      <c r="C961" s="27"/>
      <c r="D961" s="27"/>
      <c r="E961" s="27"/>
      <c r="F961" s="27"/>
      <c r="G961" s="27"/>
      <c r="H961" s="27"/>
      <c r="I961" s="27"/>
      <c r="J961" s="27"/>
      <c r="K961" s="27"/>
      <c r="L961" s="27"/>
      <c r="M961" s="27"/>
    </row>
    <row r="962" spans="2:13" ht="15">
      <c r="B962" s="8"/>
      <c r="C962" s="27"/>
      <c r="D962" s="27"/>
      <c r="E962" s="27"/>
      <c r="F962" s="27"/>
      <c r="G962" s="27"/>
      <c r="H962" s="27"/>
      <c r="I962" s="27"/>
      <c r="J962" s="27"/>
      <c r="K962" s="27"/>
      <c r="L962" s="27"/>
      <c r="M962" s="27"/>
    </row>
    <row r="963" spans="2:13" ht="15">
      <c r="B963" s="8"/>
      <c r="C963" s="27"/>
      <c r="D963" s="27"/>
      <c r="E963" s="27"/>
      <c r="F963" s="27"/>
      <c r="G963" s="27"/>
      <c r="H963" s="27"/>
      <c r="I963" s="27"/>
      <c r="J963" s="27"/>
      <c r="K963" s="27"/>
      <c r="L963" s="27"/>
      <c r="M963" s="27"/>
    </row>
    <row r="964" spans="2:13" ht="15">
      <c r="B964" s="8"/>
      <c r="C964" s="27"/>
      <c r="D964" s="27"/>
      <c r="E964" s="27"/>
      <c r="F964" s="27"/>
      <c r="G964" s="27"/>
      <c r="H964" s="27"/>
      <c r="I964" s="27"/>
      <c r="J964" s="27"/>
      <c r="K964" s="27"/>
      <c r="L964" s="27"/>
      <c r="M964" s="27"/>
    </row>
    <row r="965" spans="2:13" ht="15">
      <c r="B965" s="8"/>
      <c r="C965" s="27"/>
      <c r="D965" s="27"/>
      <c r="E965" s="27"/>
      <c r="F965" s="27"/>
      <c r="G965" s="27"/>
      <c r="H965" s="27"/>
      <c r="I965" s="27"/>
      <c r="J965" s="27"/>
      <c r="K965" s="27"/>
      <c r="L965" s="27"/>
      <c r="M965" s="27"/>
    </row>
    <row r="966" spans="2:13" ht="15">
      <c r="B966" s="8"/>
      <c r="C966" s="27"/>
      <c r="D966" s="27"/>
      <c r="E966" s="27"/>
      <c r="F966" s="27"/>
      <c r="G966" s="27"/>
      <c r="H966" s="27"/>
      <c r="I966" s="27"/>
      <c r="J966" s="27"/>
      <c r="K966" s="27"/>
      <c r="L966" s="27"/>
      <c r="M966" s="27"/>
    </row>
    <row r="967" spans="2:13" ht="15">
      <c r="B967" s="8"/>
      <c r="C967" s="27"/>
      <c r="D967" s="27"/>
      <c r="E967" s="27"/>
      <c r="F967" s="27"/>
      <c r="G967" s="27"/>
      <c r="H967" s="27"/>
      <c r="I967" s="27"/>
      <c r="J967" s="27"/>
      <c r="K967" s="27"/>
      <c r="L967" s="27"/>
      <c r="M967" s="27"/>
    </row>
    <row r="968" spans="2:13" ht="15">
      <c r="B968" s="8"/>
      <c r="C968" s="27"/>
      <c r="D968" s="27"/>
      <c r="E968" s="27"/>
      <c r="F968" s="27"/>
      <c r="G968" s="27"/>
      <c r="H968" s="27"/>
      <c r="I968" s="27"/>
      <c r="J968" s="27"/>
      <c r="K968" s="27"/>
      <c r="L968" s="27"/>
      <c r="M968" s="27"/>
    </row>
    <row r="969" spans="2:13" ht="15">
      <c r="B969" s="8"/>
      <c r="C969" s="27"/>
      <c r="D969" s="27"/>
      <c r="E969" s="27"/>
      <c r="F969" s="27"/>
      <c r="G969" s="27"/>
      <c r="H969" s="27"/>
      <c r="I969" s="27"/>
      <c r="J969" s="27"/>
      <c r="K969" s="27"/>
      <c r="L969" s="27"/>
      <c r="M969" s="27"/>
    </row>
    <row r="970" spans="2:13" ht="15">
      <c r="B970" s="8"/>
      <c r="C970" s="27"/>
      <c r="D970" s="27"/>
      <c r="E970" s="27"/>
      <c r="F970" s="27"/>
      <c r="G970" s="27"/>
      <c r="H970" s="27"/>
      <c r="I970" s="27"/>
      <c r="J970" s="27"/>
      <c r="K970" s="27"/>
      <c r="L970" s="27"/>
      <c r="M970" s="27"/>
    </row>
    <row r="971" spans="2:13" ht="15">
      <c r="B971" s="8"/>
      <c r="C971" s="27"/>
      <c r="D971" s="27"/>
      <c r="E971" s="27"/>
      <c r="F971" s="27"/>
      <c r="G971" s="27"/>
      <c r="H971" s="27"/>
      <c r="I971" s="27"/>
      <c r="J971" s="27"/>
      <c r="K971" s="27"/>
      <c r="L971" s="27"/>
      <c r="M971" s="27"/>
    </row>
    <row r="972" spans="2:13" ht="15">
      <c r="B972" s="8"/>
      <c r="C972" s="27"/>
      <c r="D972" s="27"/>
      <c r="E972" s="27"/>
      <c r="F972" s="27"/>
      <c r="G972" s="27"/>
      <c r="H972" s="27"/>
      <c r="I972" s="27"/>
      <c r="J972" s="27"/>
      <c r="K972" s="27"/>
      <c r="L972" s="27"/>
      <c r="M972" s="27"/>
    </row>
    <row r="973" spans="2:13" ht="15">
      <c r="B973" s="8"/>
      <c r="C973" s="27"/>
      <c r="D973" s="27"/>
      <c r="E973" s="27"/>
      <c r="F973" s="27"/>
      <c r="G973" s="27"/>
      <c r="H973" s="27"/>
      <c r="I973" s="27"/>
      <c r="J973" s="27"/>
      <c r="K973" s="27"/>
      <c r="L973" s="27"/>
      <c r="M973" s="27"/>
    </row>
    <row r="974" spans="2:13" ht="15">
      <c r="B974" s="8"/>
      <c r="C974" s="27"/>
      <c r="D974" s="27"/>
      <c r="E974" s="27"/>
      <c r="F974" s="27"/>
      <c r="G974" s="27"/>
      <c r="H974" s="27"/>
      <c r="I974" s="27"/>
      <c r="J974" s="27"/>
      <c r="K974" s="27"/>
      <c r="L974" s="27"/>
      <c r="M974" s="27"/>
    </row>
    <row r="975" spans="2:13" ht="15">
      <c r="B975" s="8"/>
      <c r="C975" s="27"/>
      <c r="D975" s="27"/>
      <c r="E975" s="27"/>
      <c r="F975" s="27"/>
      <c r="G975" s="27"/>
      <c r="H975" s="27"/>
      <c r="I975" s="27"/>
      <c r="J975" s="27"/>
      <c r="K975" s="27"/>
      <c r="L975" s="27"/>
      <c r="M975" s="27"/>
    </row>
    <row r="976" spans="2:13" ht="15">
      <c r="B976" s="8"/>
      <c r="C976" s="27"/>
      <c r="D976" s="27"/>
      <c r="E976" s="27"/>
      <c r="F976" s="27"/>
      <c r="G976" s="27"/>
      <c r="H976" s="27"/>
      <c r="I976" s="27"/>
      <c r="J976" s="27"/>
      <c r="K976" s="27"/>
      <c r="L976" s="27"/>
      <c r="M976" s="27"/>
    </row>
    <row r="977" spans="2:13" ht="15">
      <c r="B977" s="8"/>
      <c r="C977" s="27"/>
      <c r="D977" s="27"/>
      <c r="E977" s="27"/>
      <c r="F977" s="27"/>
      <c r="G977" s="27"/>
      <c r="H977" s="27"/>
      <c r="I977" s="27"/>
      <c r="J977" s="27"/>
      <c r="K977" s="27"/>
      <c r="L977" s="27"/>
      <c r="M977" s="27"/>
    </row>
    <row r="978" spans="2:13" ht="15">
      <c r="B978" s="8"/>
      <c r="C978" s="27"/>
      <c r="D978" s="27"/>
      <c r="E978" s="27"/>
      <c r="F978" s="27"/>
      <c r="G978" s="27"/>
      <c r="H978" s="27"/>
      <c r="I978" s="27"/>
      <c r="J978" s="27"/>
      <c r="K978" s="27"/>
      <c r="L978" s="27"/>
      <c r="M978" s="27"/>
    </row>
    <row r="979" spans="2:13" ht="15">
      <c r="B979" s="8"/>
      <c r="C979" s="27"/>
      <c r="D979" s="27"/>
      <c r="E979" s="27"/>
      <c r="F979" s="27"/>
      <c r="G979" s="27"/>
      <c r="H979" s="27"/>
      <c r="I979" s="27"/>
      <c r="J979" s="27"/>
      <c r="K979" s="27"/>
      <c r="L979" s="27"/>
      <c r="M979" s="27"/>
    </row>
    <row r="980" spans="2:13" ht="15">
      <c r="B980" s="8"/>
      <c r="C980" s="27"/>
      <c r="D980" s="27"/>
      <c r="E980" s="27"/>
      <c r="F980" s="27"/>
      <c r="G980" s="27"/>
      <c r="H980" s="27"/>
      <c r="I980" s="27"/>
      <c r="J980" s="27"/>
      <c r="K980" s="27"/>
      <c r="L980" s="27"/>
      <c r="M980" s="27"/>
    </row>
    <row r="981" spans="2:13" ht="15">
      <c r="B981" s="8"/>
      <c r="C981" s="27"/>
      <c r="D981" s="27"/>
      <c r="E981" s="27"/>
      <c r="F981" s="27"/>
      <c r="G981" s="27"/>
      <c r="H981" s="27"/>
      <c r="I981" s="27"/>
      <c r="J981" s="27"/>
      <c r="K981" s="27"/>
      <c r="L981" s="27"/>
      <c r="M981" s="27"/>
    </row>
    <row r="982" spans="2:13" ht="15">
      <c r="B982" s="8"/>
      <c r="C982" s="27"/>
      <c r="D982" s="27"/>
      <c r="E982" s="27"/>
      <c r="F982" s="27"/>
      <c r="G982" s="27"/>
      <c r="H982" s="27"/>
      <c r="I982" s="27"/>
      <c r="J982" s="27"/>
      <c r="K982" s="27"/>
      <c r="L982" s="27"/>
      <c r="M982" s="27"/>
    </row>
    <row r="983" spans="2:13" ht="15">
      <c r="B983" s="8"/>
      <c r="C983" s="27"/>
      <c r="D983" s="27"/>
      <c r="E983" s="27"/>
      <c r="F983" s="27"/>
      <c r="G983" s="27"/>
      <c r="H983" s="27"/>
      <c r="I983" s="27"/>
      <c r="J983" s="27"/>
      <c r="K983" s="27"/>
      <c r="L983" s="27"/>
      <c r="M983" s="27"/>
    </row>
    <row r="984" spans="2:13" ht="15">
      <c r="B984" s="8"/>
      <c r="C984" s="27"/>
      <c r="D984" s="27"/>
      <c r="E984" s="27"/>
      <c r="F984" s="27"/>
      <c r="G984" s="27"/>
      <c r="H984" s="27"/>
      <c r="I984" s="27"/>
      <c r="J984" s="27"/>
      <c r="K984" s="27"/>
      <c r="L984" s="27"/>
      <c r="M984" s="27"/>
    </row>
    <row r="985" spans="2:13" ht="15">
      <c r="B985" s="8"/>
      <c r="C985" s="27"/>
      <c r="D985" s="27"/>
      <c r="E985" s="27"/>
      <c r="F985" s="27"/>
      <c r="G985" s="27"/>
      <c r="H985" s="27"/>
      <c r="I985" s="27"/>
      <c r="J985" s="27"/>
      <c r="K985" s="27"/>
      <c r="L985" s="27"/>
      <c r="M985" s="27"/>
    </row>
    <row r="986" spans="2:13" ht="15">
      <c r="B986" s="8"/>
      <c r="C986" s="27"/>
      <c r="D986" s="27"/>
      <c r="E986" s="27"/>
      <c r="F986" s="27"/>
      <c r="G986" s="27"/>
      <c r="H986" s="27"/>
      <c r="I986" s="27"/>
      <c r="J986" s="27"/>
      <c r="K986" s="27"/>
      <c r="L986" s="27"/>
      <c r="M986" s="27"/>
    </row>
    <row r="987" spans="2:13" ht="15">
      <c r="B987" s="8"/>
      <c r="C987" s="27"/>
      <c r="D987" s="27"/>
      <c r="E987" s="27"/>
      <c r="F987" s="27"/>
      <c r="G987" s="27"/>
      <c r="H987" s="27"/>
      <c r="I987" s="27"/>
      <c r="J987" s="27"/>
      <c r="K987" s="27"/>
      <c r="L987" s="27"/>
      <c r="M987" s="27"/>
    </row>
    <row r="988" spans="2:13" ht="15">
      <c r="B988" s="8"/>
      <c r="C988" s="27"/>
      <c r="D988" s="27"/>
      <c r="E988" s="27"/>
      <c r="F988" s="27"/>
      <c r="G988" s="27"/>
      <c r="H988" s="27"/>
      <c r="I988" s="27"/>
      <c r="J988" s="27"/>
      <c r="K988" s="27"/>
      <c r="L988" s="27"/>
      <c r="M988" s="27"/>
    </row>
    <row r="989" spans="2:13" ht="15">
      <c r="B989" s="8"/>
      <c r="C989" s="27"/>
      <c r="D989" s="27"/>
      <c r="E989" s="27"/>
      <c r="F989" s="27"/>
      <c r="G989" s="27"/>
      <c r="H989" s="27"/>
      <c r="I989" s="27"/>
      <c r="J989" s="27"/>
      <c r="K989" s="27"/>
      <c r="L989" s="27"/>
      <c r="M989" s="27"/>
    </row>
    <row r="990" spans="2:13" ht="15">
      <c r="B990" s="8"/>
      <c r="C990" s="27"/>
      <c r="D990" s="27"/>
      <c r="E990" s="27"/>
      <c r="F990" s="27"/>
      <c r="G990" s="27"/>
      <c r="H990" s="27"/>
      <c r="I990" s="27"/>
      <c r="J990" s="27"/>
      <c r="K990" s="27"/>
      <c r="L990" s="27"/>
      <c r="M990" s="27"/>
    </row>
    <row r="991" spans="2:13" ht="15">
      <c r="B991" s="8"/>
      <c r="C991" s="27"/>
      <c r="D991" s="27"/>
      <c r="E991" s="27"/>
      <c r="F991" s="27"/>
      <c r="G991" s="27"/>
      <c r="H991" s="27"/>
      <c r="I991" s="27"/>
      <c r="J991" s="27"/>
      <c r="K991" s="27"/>
      <c r="L991" s="27"/>
      <c r="M991" s="27"/>
    </row>
    <row r="992" spans="2:13" ht="15">
      <c r="B992" s="8"/>
      <c r="C992" s="27"/>
      <c r="D992" s="27"/>
      <c r="E992" s="27"/>
      <c r="F992" s="27"/>
      <c r="G992" s="27"/>
      <c r="H992" s="27"/>
      <c r="I992" s="27"/>
      <c r="J992" s="27"/>
      <c r="K992" s="27"/>
      <c r="L992" s="27"/>
      <c r="M992" s="27"/>
    </row>
    <row r="993" spans="2:13" ht="15">
      <c r="B993" s="8"/>
      <c r="C993" s="27"/>
      <c r="D993" s="27"/>
      <c r="E993" s="27"/>
      <c r="F993" s="27"/>
      <c r="G993" s="27"/>
      <c r="H993" s="27"/>
      <c r="I993" s="27"/>
      <c r="J993" s="27"/>
      <c r="K993" s="27"/>
      <c r="L993" s="27"/>
      <c r="M993" s="27"/>
    </row>
    <row r="994" spans="2:13" ht="15">
      <c r="B994" s="8"/>
      <c r="C994" s="27"/>
      <c r="D994" s="27"/>
      <c r="E994" s="27"/>
      <c r="F994" s="27"/>
      <c r="G994" s="27"/>
      <c r="H994" s="27"/>
      <c r="I994" s="27"/>
      <c r="J994" s="27"/>
      <c r="K994" s="27"/>
      <c r="L994" s="27"/>
      <c r="M994" s="27"/>
    </row>
    <row r="995" spans="2:13" ht="15">
      <c r="B995" s="8"/>
      <c r="C995" s="27"/>
      <c r="D995" s="27"/>
      <c r="E995" s="27"/>
      <c r="F995" s="27"/>
      <c r="G995" s="27"/>
      <c r="H995" s="27"/>
      <c r="I995" s="27"/>
      <c r="J995" s="27"/>
      <c r="K995" s="27"/>
      <c r="L995" s="27"/>
      <c r="M995" s="27"/>
    </row>
    <row r="996" spans="2:13" ht="15">
      <c r="B996" s="8"/>
      <c r="C996" s="27"/>
      <c r="D996" s="27"/>
      <c r="E996" s="27"/>
      <c r="F996" s="27"/>
      <c r="G996" s="27"/>
      <c r="H996" s="27"/>
      <c r="I996" s="27"/>
      <c r="J996" s="27"/>
      <c r="K996" s="27"/>
      <c r="L996" s="27"/>
      <c r="M996" s="27"/>
    </row>
    <row r="997" spans="2:13" ht="15">
      <c r="B997" s="8"/>
      <c r="C997" s="27"/>
      <c r="D997" s="27"/>
      <c r="E997" s="27"/>
      <c r="F997" s="27"/>
      <c r="G997" s="27"/>
      <c r="H997" s="27"/>
      <c r="I997" s="27"/>
      <c r="J997" s="27"/>
      <c r="K997" s="27"/>
      <c r="L997" s="27"/>
      <c r="M997" s="27"/>
    </row>
    <row r="998" spans="2:13" ht="15">
      <c r="B998" s="8"/>
      <c r="C998" s="27"/>
      <c r="D998" s="27"/>
      <c r="E998" s="27"/>
      <c r="F998" s="27"/>
      <c r="G998" s="27"/>
      <c r="H998" s="27"/>
      <c r="I998" s="27"/>
      <c r="J998" s="27"/>
      <c r="K998" s="27"/>
      <c r="L998" s="27"/>
      <c r="M998" s="27"/>
    </row>
    <row r="999" spans="2:13" ht="15">
      <c r="B999" s="8"/>
      <c r="C999" s="27"/>
      <c r="D999" s="27"/>
      <c r="E999" s="27"/>
      <c r="F999" s="27"/>
      <c r="G999" s="27"/>
      <c r="H999" s="27"/>
      <c r="I999" s="27"/>
      <c r="J999" s="27"/>
      <c r="K999" s="27"/>
      <c r="L999" s="27"/>
      <c r="M999" s="27"/>
    </row>
    <row r="1000" spans="2:13" ht="15">
      <c r="B1000" s="8"/>
      <c r="C1000" s="27"/>
      <c r="D1000" s="27"/>
      <c r="E1000" s="27"/>
      <c r="F1000" s="27"/>
      <c r="G1000" s="27"/>
      <c r="H1000" s="27"/>
      <c r="I1000" s="27"/>
      <c r="J1000" s="27"/>
      <c r="K1000" s="27"/>
      <c r="L1000" s="27"/>
      <c r="M1000" s="27"/>
    </row>
    <row r="1001" spans="2:13" ht="15">
      <c r="B1001" s="8"/>
      <c r="C1001" s="27"/>
      <c r="D1001" s="27"/>
      <c r="E1001" s="27"/>
      <c r="F1001" s="27"/>
      <c r="G1001" s="27"/>
      <c r="H1001" s="27"/>
      <c r="I1001" s="27"/>
      <c r="J1001" s="27"/>
      <c r="K1001" s="27"/>
      <c r="L1001" s="27"/>
      <c r="M1001" s="27"/>
    </row>
    <row r="1002" spans="2:13" ht="15">
      <c r="B1002" s="8"/>
      <c r="C1002" s="27"/>
      <c r="D1002" s="27"/>
      <c r="E1002" s="27"/>
      <c r="F1002" s="27"/>
      <c r="G1002" s="27"/>
      <c r="H1002" s="27"/>
      <c r="I1002" s="27"/>
      <c r="J1002" s="27"/>
      <c r="K1002" s="27"/>
      <c r="L1002" s="27"/>
      <c r="M1002" s="27"/>
    </row>
    <row r="1003" spans="2:13" ht="15">
      <c r="B1003" s="8"/>
      <c r="C1003" s="27"/>
      <c r="D1003" s="27"/>
      <c r="E1003" s="27"/>
      <c r="F1003" s="27"/>
      <c r="G1003" s="27"/>
      <c r="H1003" s="27"/>
      <c r="I1003" s="27"/>
      <c r="J1003" s="27"/>
      <c r="K1003" s="27"/>
      <c r="L1003" s="27"/>
      <c r="M1003" s="27"/>
    </row>
    <row r="1004" spans="2:13" ht="15">
      <c r="B1004" s="8"/>
      <c r="C1004" s="27"/>
      <c r="D1004" s="27"/>
      <c r="E1004" s="27"/>
      <c r="F1004" s="27"/>
      <c r="G1004" s="27"/>
      <c r="H1004" s="27"/>
      <c r="I1004" s="27"/>
      <c r="J1004" s="27"/>
      <c r="K1004" s="27"/>
      <c r="L1004" s="27"/>
      <c r="M1004" s="27"/>
    </row>
    <row r="1005" spans="2:13" ht="15">
      <c r="B1005" s="8"/>
      <c r="C1005" s="27"/>
      <c r="D1005" s="27"/>
      <c r="E1005" s="27"/>
      <c r="F1005" s="27"/>
      <c r="G1005" s="27"/>
      <c r="H1005" s="27"/>
      <c r="I1005" s="27"/>
      <c r="J1005" s="27"/>
      <c r="K1005" s="27"/>
      <c r="L1005" s="27"/>
      <c r="M1005" s="27"/>
    </row>
    <row r="1006" spans="2:13" ht="15">
      <c r="B1006" s="8"/>
      <c r="C1006" s="27"/>
      <c r="D1006" s="27"/>
      <c r="E1006" s="27"/>
      <c r="F1006" s="27"/>
      <c r="G1006" s="27"/>
      <c r="H1006" s="27"/>
      <c r="I1006" s="27"/>
      <c r="J1006" s="27"/>
      <c r="K1006" s="27"/>
      <c r="L1006" s="27"/>
      <c r="M1006" s="27"/>
    </row>
    <row r="1007" spans="2:13" ht="15">
      <c r="B1007" s="8"/>
      <c r="C1007" s="27"/>
      <c r="D1007" s="27"/>
      <c r="E1007" s="27"/>
      <c r="F1007" s="27"/>
      <c r="G1007" s="27"/>
      <c r="H1007" s="27"/>
      <c r="I1007" s="27"/>
      <c r="J1007" s="27"/>
      <c r="K1007" s="27"/>
      <c r="L1007" s="27"/>
      <c r="M1007" s="27"/>
    </row>
    <row r="1008" spans="2:13" ht="15">
      <c r="B1008" s="8"/>
      <c r="C1008" s="27"/>
      <c r="D1008" s="27"/>
      <c r="E1008" s="27"/>
      <c r="F1008" s="27"/>
      <c r="G1008" s="27"/>
      <c r="H1008" s="27"/>
      <c r="I1008" s="27"/>
      <c r="J1008" s="27"/>
      <c r="K1008" s="27"/>
      <c r="L1008" s="27"/>
      <c r="M1008" s="27"/>
    </row>
    <row r="1009" spans="2:13" ht="15">
      <c r="B1009" s="8"/>
      <c r="C1009" s="27"/>
      <c r="D1009" s="27"/>
      <c r="E1009" s="27"/>
      <c r="F1009" s="27"/>
      <c r="G1009" s="27"/>
      <c r="H1009" s="27"/>
      <c r="I1009" s="27"/>
      <c r="J1009" s="27"/>
      <c r="K1009" s="27"/>
      <c r="L1009" s="27"/>
      <c r="M1009" s="27"/>
    </row>
    <row r="1010" spans="2:13" ht="15">
      <c r="B1010" s="8"/>
      <c r="C1010" s="27"/>
      <c r="D1010" s="27"/>
      <c r="E1010" s="27"/>
      <c r="F1010" s="27"/>
      <c r="G1010" s="27"/>
      <c r="H1010" s="27"/>
      <c r="I1010" s="27"/>
      <c r="J1010" s="27"/>
      <c r="K1010" s="27"/>
      <c r="L1010" s="27"/>
      <c r="M1010" s="27"/>
    </row>
    <row r="1011" spans="2:13" ht="15">
      <c r="B1011" s="8"/>
      <c r="C1011" s="27"/>
      <c r="D1011" s="27"/>
      <c r="E1011" s="27"/>
      <c r="F1011" s="27"/>
      <c r="G1011" s="27"/>
      <c r="H1011" s="27"/>
      <c r="I1011" s="27"/>
      <c r="J1011" s="27"/>
      <c r="K1011" s="27"/>
      <c r="L1011" s="27"/>
      <c r="M1011" s="27"/>
    </row>
    <row r="1012" spans="2:13" ht="15">
      <c r="B1012" s="8"/>
      <c r="C1012" s="27"/>
      <c r="D1012" s="27"/>
      <c r="E1012" s="27"/>
      <c r="F1012" s="27"/>
      <c r="G1012" s="27"/>
      <c r="H1012" s="27"/>
      <c r="I1012" s="27"/>
      <c r="J1012" s="27"/>
      <c r="K1012" s="27"/>
      <c r="L1012" s="27"/>
      <c r="M1012" s="27"/>
    </row>
    <row r="1013" spans="2:13" ht="15">
      <c r="B1013" s="8"/>
      <c r="C1013" s="27"/>
      <c r="D1013" s="27"/>
      <c r="E1013" s="27"/>
      <c r="F1013" s="27"/>
      <c r="G1013" s="27"/>
      <c r="H1013" s="27"/>
      <c r="I1013" s="27"/>
      <c r="J1013" s="27"/>
      <c r="K1013" s="27"/>
      <c r="L1013" s="27"/>
      <c r="M1013" s="27"/>
    </row>
    <row r="1014" spans="2:13" ht="15">
      <c r="B1014" s="8"/>
      <c r="C1014" s="27"/>
      <c r="D1014" s="27"/>
      <c r="E1014" s="27"/>
      <c r="F1014" s="27"/>
      <c r="G1014" s="27"/>
      <c r="H1014" s="27"/>
      <c r="I1014" s="27"/>
      <c r="J1014" s="27"/>
      <c r="K1014" s="27"/>
      <c r="L1014" s="27"/>
      <c r="M1014" s="27"/>
    </row>
    <row r="1015" spans="2:13" ht="15">
      <c r="B1015" s="8"/>
      <c r="C1015" s="27"/>
      <c r="D1015" s="27"/>
      <c r="E1015" s="27"/>
      <c r="F1015" s="27"/>
      <c r="G1015" s="27"/>
      <c r="H1015" s="27"/>
      <c r="I1015" s="27"/>
      <c r="J1015" s="27"/>
      <c r="K1015" s="27"/>
      <c r="L1015" s="27"/>
      <c r="M1015" s="27"/>
    </row>
    <row r="1016" spans="2:13" ht="15">
      <c r="B1016" s="8"/>
      <c r="C1016" s="27"/>
      <c r="D1016" s="27"/>
      <c r="E1016" s="27"/>
      <c r="F1016" s="27"/>
      <c r="G1016" s="27"/>
      <c r="H1016" s="27"/>
      <c r="I1016" s="27"/>
      <c r="J1016" s="27"/>
      <c r="K1016" s="27"/>
      <c r="L1016" s="27"/>
      <c r="M1016" s="27"/>
    </row>
    <row r="1017" spans="2:13" ht="15">
      <c r="B1017" s="8"/>
      <c r="C1017" s="27"/>
      <c r="D1017" s="27"/>
      <c r="E1017" s="27"/>
      <c r="F1017" s="27"/>
      <c r="G1017" s="27"/>
      <c r="H1017" s="27"/>
      <c r="I1017" s="27"/>
      <c r="J1017" s="27"/>
      <c r="K1017" s="27"/>
      <c r="L1017" s="27"/>
      <c r="M1017" s="27"/>
    </row>
    <row r="1018" spans="2:13" ht="15">
      <c r="B1018" s="8"/>
      <c r="C1018" s="27"/>
      <c r="D1018" s="27"/>
      <c r="E1018" s="27"/>
      <c r="F1018" s="27"/>
      <c r="G1018" s="27"/>
      <c r="H1018" s="27"/>
      <c r="I1018" s="27"/>
      <c r="J1018" s="27"/>
      <c r="K1018" s="27"/>
      <c r="L1018" s="27"/>
      <c r="M1018" s="27"/>
    </row>
    <row r="1019" spans="2:13" ht="15">
      <c r="B1019" s="8"/>
      <c r="C1019" s="27"/>
      <c r="D1019" s="27"/>
      <c r="E1019" s="27"/>
      <c r="F1019" s="27"/>
      <c r="G1019" s="27"/>
      <c r="H1019" s="27"/>
      <c r="I1019" s="27"/>
      <c r="J1019" s="27"/>
      <c r="K1019" s="27"/>
      <c r="L1019" s="27"/>
      <c r="M1019" s="27"/>
    </row>
    <row r="1020" spans="2:13" ht="15">
      <c r="B1020" s="8"/>
      <c r="C1020" s="27"/>
      <c r="D1020" s="27"/>
      <c r="E1020" s="27"/>
      <c r="F1020" s="27"/>
      <c r="G1020" s="27"/>
      <c r="H1020" s="27"/>
      <c r="I1020" s="27"/>
      <c r="J1020" s="27"/>
      <c r="K1020" s="27"/>
      <c r="L1020" s="27"/>
      <c r="M1020" s="27"/>
    </row>
    <row r="1021" spans="2:13" ht="15">
      <c r="B1021" s="8"/>
      <c r="C1021" s="27"/>
      <c r="D1021" s="27"/>
      <c r="E1021" s="27"/>
      <c r="F1021" s="27"/>
      <c r="G1021" s="27"/>
      <c r="H1021" s="27"/>
      <c r="I1021" s="27"/>
      <c r="J1021" s="27"/>
      <c r="K1021" s="27"/>
      <c r="L1021" s="27"/>
      <c r="M1021" s="27"/>
    </row>
    <row r="1022" spans="2:13" ht="15">
      <c r="B1022" s="8"/>
      <c r="C1022" s="27"/>
      <c r="D1022" s="27"/>
      <c r="E1022" s="27"/>
      <c r="F1022" s="27"/>
      <c r="G1022" s="27"/>
      <c r="H1022" s="27"/>
      <c r="I1022" s="27"/>
      <c r="J1022" s="27"/>
      <c r="K1022" s="27"/>
      <c r="L1022" s="27"/>
      <c r="M1022" s="27"/>
    </row>
    <row r="1023" spans="2:13" ht="15">
      <c r="B1023" s="8"/>
      <c r="C1023" s="27"/>
      <c r="D1023" s="27"/>
      <c r="E1023" s="27"/>
      <c r="F1023" s="27"/>
      <c r="G1023" s="27"/>
      <c r="H1023" s="27"/>
      <c r="I1023" s="27"/>
      <c r="J1023" s="27"/>
      <c r="K1023" s="27"/>
      <c r="L1023" s="27"/>
      <c r="M1023" s="27"/>
    </row>
    <row r="1024" spans="2:13" ht="15">
      <c r="B1024" s="8"/>
      <c r="C1024" s="27"/>
      <c r="D1024" s="27"/>
      <c r="E1024" s="27"/>
      <c r="F1024" s="27"/>
      <c r="G1024" s="27"/>
      <c r="H1024" s="27"/>
      <c r="I1024" s="27"/>
      <c r="J1024" s="27"/>
      <c r="K1024" s="27"/>
      <c r="L1024" s="27"/>
      <c r="M1024" s="27"/>
    </row>
    <row r="1025" spans="2:13" ht="15">
      <c r="B1025" s="8"/>
      <c r="C1025" s="27"/>
      <c r="D1025" s="27"/>
      <c r="E1025" s="27"/>
      <c r="F1025" s="27"/>
      <c r="G1025" s="27"/>
      <c r="H1025" s="27"/>
      <c r="I1025" s="27"/>
      <c r="J1025" s="27"/>
      <c r="K1025" s="27"/>
      <c r="L1025" s="27"/>
      <c r="M1025" s="27"/>
    </row>
    <row r="1026" spans="2:13" ht="15">
      <c r="B1026" s="8"/>
      <c r="C1026" s="27"/>
      <c r="D1026" s="27"/>
      <c r="E1026" s="27"/>
      <c r="F1026" s="27"/>
      <c r="G1026" s="27"/>
      <c r="H1026" s="27"/>
      <c r="I1026" s="27"/>
      <c r="J1026" s="27"/>
      <c r="K1026" s="27"/>
      <c r="L1026" s="27"/>
      <c r="M1026" s="27"/>
    </row>
    <row r="1027" spans="2:13" ht="15">
      <c r="B1027" s="8"/>
      <c r="C1027" s="27"/>
      <c r="D1027" s="27"/>
      <c r="E1027" s="27"/>
      <c r="F1027" s="27"/>
      <c r="G1027" s="27"/>
      <c r="H1027" s="27"/>
      <c r="I1027" s="27"/>
      <c r="J1027" s="27"/>
      <c r="K1027" s="27"/>
      <c r="L1027" s="27"/>
      <c r="M1027" s="27"/>
    </row>
    <row r="1028" spans="2:13" ht="15">
      <c r="B1028" s="8"/>
      <c r="C1028" s="27"/>
      <c r="D1028" s="27"/>
      <c r="E1028" s="27"/>
      <c r="F1028" s="27"/>
      <c r="G1028" s="27"/>
      <c r="H1028" s="27"/>
      <c r="I1028" s="27"/>
      <c r="J1028" s="27"/>
      <c r="K1028" s="27"/>
      <c r="L1028" s="27"/>
      <c r="M1028" s="27"/>
    </row>
    <row r="1029" spans="2:13" ht="15">
      <c r="B1029" s="8"/>
      <c r="C1029" s="27"/>
      <c r="D1029" s="27"/>
      <c r="E1029" s="27"/>
      <c r="F1029" s="27"/>
      <c r="G1029" s="27"/>
      <c r="H1029" s="27"/>
      <c r="I1029" s="27"/>
      <c r="J1029" s="27"/>
      <c r="K1029" s="27"/>
      <c r="L1029" s="27"/>
      <c r="M1029" s="27"/>
    </row>
    <row r="1030" spans="2:13" ht="15">
      <c r="B1030" s="8"/>
      <c r="C1030" s="27"/>
      <c r="D1030" s="27"/>
      <c r="E1030" s="27"/>
      <c r="F1030" s="27"/>
      <c r="G1030" s="27"/>
      <c r="H1030" s="27"/>
      <c r="I1030" s="27"/>
      <c r="J1030" s="27"/>
      <c r="K1030" s="27"/>
      <c r="L1030" s="27"/>
      <c r="M1030" s="27"/>
    </row>
    <row r="1031" spans="2:13" ht="15">
      <c r="B1031" s="8"/>
      <c r="C1031" s="27"/>
      <c r="D1031" s="27"/>
      <c r="E1031" s="27"/>
      <c r="F1031" s="27"/>
      <c r="G1031" s="27"/>
      <c r="H1031" s="27"/>
      <c r="I1031" s="27"/>
      <c r="J1031" s="27"/>
      <c r="K1031" s="27"/>
      <c r="L1031" s="27"/>
      <c r="M1031" s="27"/>
    </row>
    <row r="1032" spans="2:13" ht="15">
      <c r="B1032" s="8"/>
      <c r="C1032" s="27"/>
      <c r="D1032" s="27"/>
      <c r="E1032" s="27"/>
      <c r="F1032" s="27"/>
      <c r="G1032" s="27"/>
      <c r="H1032" s="27"/>
      <c r="I1032" s="27"/>
      <c r="J1032" s="27"/>
      <c r="K1032" s="27"/>
      <c r="L1032" s="27"/>
      <c r="M1032" s="27"/>
    </row>
    <row r="1033" spans="2:13" ht="15">
      <c r="B1033" s="8"/>
      <c r="C1033" s="27"/>
      <c r="D1033" s="27"/>
      <c r="E1033" s="27"/>
      <c r="F1033" s="27"/>
      <c r="G1033" s="27"/>
      <c r="H1033" s="27"/>
      <c r="I1033" s="27"/>
      <c r="J1033" s="27"/>
      <c r="K1033" s="27"/>
      <c r="L1033" s="27"/>
      <c r="M1033" s="27"/>
    </row>
    <row r="1034" spans="2:13" ht="15">
      <c r="B1034" s="8"/>
      <c r="C1034" s="27"/>
      <c r="D1034" s="27"/>
      <c r="E1034" s="27"/>
      <c r="F1034" s="27"/>
      <c r="G1034" s="27"/>
      <c r="H1034" s="27"/>
      <c r="I1034" s="27"/>
      <c r="J1034" s="27"/>
      <c r="K1034" s="27"/>
      <c r="L1034" s="27"/>
      <c r="M1034" s="27"/>
    </row>
    <row r="1035" spans="2:13" ht="15">
      <c r="B1035" s="8"/>
      <c r="C1035" s="27"/>
      <c r="D1035" s="27"/>
      <c r="E1035" s="27"/>
      <c r="F1035" s="27"/>
      <c r="G1035" s="27"/>
      <c r="H1035" s="27"/>
      <c r="I1035" s="27"/>
      <c r="J1035" s="27"/>
      <c r="K1035" s="27"/>
      <c r="L1035" s="27"/>
      <c r="M1035" s="27"/>
    </row>
    <row r="1036" spans="2:13" ht="15">
      <c r="B1036" s="8"/>
      <c r="C1036" s="27"/>
      <c r="D1036" s="27"/>
      <c r="E1036" s="27"/>
      <c r="F1036" s="27"/>
      <c r="G1036" s="27"/>
      <c r="H1036" s="27"/>
      <c r="I1036" s="27"/>
      <c r="J1036" s="27"/>
      <c r="K1036" s="27"/>
      <c r="L1036" s="27"/>
      <c r="M1036" s="27"/>
    </row>
    <row r="1037" spans="2:13" ht="15">
      <c r="B1037" s="8"/>
      <c r="C1037" s="27"/>
      <c r="D1037" s="27"/>
      <c r="E1037" s="27"/>
      <c r="F1037" s="27"/>
      <c r="G1037" s="27"/>
      <c r="H1037" s="27"/>
      <c r="I1037" s="27"/>
      <c r="J1037" s="27"/>
      <c r="K1037" s="27"/>
      <c r="L1037" s="27"/>
      <c r="M1037" s="27"/>
    </row>
    <row r="1038" spans="2:13" ht="15">
      <c r="B1038" s="8"/>
      <c r="C1038" s="27"/>
      <c r="D1038" s="27"/>
      <c r="E1038" s="27"/>
      <c r="F1038" s="27"/>
      <c r="G1038" s="27"/>
      <c r="H1038" s="27"/>
      <c r="I1038" s="27"/>
      <c r="J1038" s="27"/>
      <c r="K1038" s="27"/>
      <c r="L1038" s="27"/>
      <c r="M1038" s="27"/>
    </row>
    <row r="1039" spans="2:13" ht="15">
      <c r="B1039" s="8"/>
      <c r="C1039" s="27"/>
      <c r="D1039" s="27"/>
      <c r="E1039" s="27"/>
      <c r="F1039" s="27"/>
      <c r="G1039" s="27"/>
      <c r="H1039" s="27"/>
      <c r="I1039" s="27"/>
      <c r="J1039" s="27"/>
      <c r="K1039" s="27"/>
      <c r="L1039" s="27"/>
      <c r="M1039" s="27"/>
    </row>
    <row r="1040" spans="2:13" ht="15">
      <c r="B1040" s="8"/>
      <c r="C1040" s="27"/>
      <c r="D1040" s="27"/>
      <c r="E1040" s="27"/>
      <c r="F1040" s="27"/>
      <c r="G1040" s="27"/>
      <c r="H1040" s="27"/>
      <c r="I1040" s="27"/>
      <c r="J1040" s="27"/>
      <c r="K1040" s="27"/>
      <c r="L1040" s="27"/>
      <c r="M1040" s="27"/>
    </row>
    <row r="1041" spans="2:13" ht="15">
      <c r="B1041" s="8"/>
      <c r="C1041" s="27"/>
      <c r="D1041" s="27"/>
      <c r="E1041" s="27"/>
      <c r="F1041" s="27"/>
      <c r="G1041" s="27"/>
      <c r="H1041" s="27"/>
      <c r="I1041" s="27"/>
      <c r="J1041" s="27"/>
      <c r="K1041" s="27"/>
      <c r="L1041" s="27"/>
      <c r="M1041" s="27"/>
    </row>
    <row r="1042" spans="2:13" ht="15">
      <c r="B1042" s="8"/>
      <c r="C1042" s="27"/>
      <c r="D1042" s="27"/>
      <c r="E1042" s="27"/>
      <c r="F1042" s="27"/>
      <c r="G1042" s="27"/>
      <c r="H1042" s="27"/>
      <c r="I1042" s="27"/>
      <c r="J1042" s="27"/>
      <c r="K1042" s="27"/>
      <c r="L1042" s="27"/>
      <c r="M1042" s="27"/>
    </row>
    <row r="1043" spans="2:13" ht="15">
      <c r="B1043" s="8"/>
      <c r="C1043" s="27"/>
      <c r="D1043" s="27"/>
      <c r="E1043" s="27"/>
      <c r="F1043" s="27"/>
      <c r="G1043" s="27"/>
      <c r="H1043" s="27"/>
      <c r="I1043" s="27"/>
      <c r="J1043" s="27"/>
      <c r="K1043" s="27"/>
      <c r="L1043" s="27"/>
      <c r="M1043" s="27"/>
    </row>
    <row r="1044" spans="2:13" ht="15">
      <c r="B1044" s="8"/>
      <c r="C1044" s="27"/>
      <c r="D1044" s="27"/>
      <c r="E1044" s="27"/>
      <c r="F1044" s="27"/>
      <c r="G1044" s="27"/>
      <c r="H1044" s="27"/>
      <c r="I1044" s="27"/>
      <c r="J1044" s="27"/>
      <c r="K1044" s="27"/>
      <c r="L1044" s="27"/>
      <c r="M1044" s="27"/>
    </row>
    <row r="1045" spans="2:13" ht="15">
      <c r="B1045" s="8"/>
      <c r="C1045" s="27"/>
      <c r="D1045" s="27"/>
      <c r="E1045" s="27"/>
      <c r="F1045" s="27"/>
      <c r="G1045" s="27"/>
      <c r="H1045" s="27"/>
      <c r="I1045" s="27"/>
      <c r="J1045" s="27"/>
      <c r="K1045" s="27"/>
      <c r="L1045" s="27"/>
      <c r="M1045" s="27"/>
    </row>
    <row r="1046" spans="2:13" ht="15">
      <c r="B1046" s="8"/>
      <c r="C1046" s="27"/>
      <c r="D1046" s="27"/>
      <c r="E1046" s="27"/>
      <c r="F1046" s="27"/>
      <c r="G1046" s="27"/>
      <c r="H1046" s="27"/>
      <c r="I1046" s="27"/>
      <c r="J1046" s="27"/>
      <c r="K1046" s="27"/>
      <c r="L1046" s="27"/>
      <c r="M1046" s="27"/>
    </row>
    <row r="1047" spans="2:13" ht="15">
      <c r="B1047" s="8"/>
      <c r="C1047" s="27"/>
      <c r="D1047" s="27"/>
      <c r="E1047" s="27"/>
      <c r="F1047" s="27"/>
      <c r="G1047" s="27"/>
      <c r="H1047" s="27"/>
      <c r="I1047" s="27"/>
      <c r="J1047" s="27"/>
      <c r="K1047" s="27"/>
      <c r="L1047" s="27"/>
      <c r="M1047" s="27"/>
    </row>
    <row r="1048" spans="2:13" ht="15">
      <c r="B1048" s="8"/>
      <c r="C1048" s="27"/>
      <c r="D1048" s="27"/>
      <c r="E1048" s="27"/>
      <c r="F1048" s="27"/>
      <c r="G1048" s="27"/>
      <c r="H1048" s="27"/>
      <c r="I1048" s="27"/>
      <c r="J1048" s="27"/>
      <c r="K1048" s="27"/>
      <c r="L1048" s="27"/>
      <c r="M1048" s="27"/>
    </row>
    <row r="1049" spans="2:13" ht="15">
      <c r="B1049" s="8"/>
      <c r="C1049" s="27"/>
      <c r="D1049" s="27"/>
      <c r="E1049" s="27"/>
      <c r="F1049" s="27"/>
      <c r="G1049" s="27"/>
      <c r="H1049" s="27"/>
      <c r="I1049" s="27"/>
      <c r="J1049" s="27"/>
      <c r="K1049" s="27"/>
      <c r="L1049" s="27"/>
      <c r="M1049" s="27"/>
    </row>
    <row r="1050" spans="2:13" ht="15">
      <c r="B1050" s="8"/>
      <c r="C1050" s="27"/>
      <c r="D1050" s="27"/>
      <c r="E1050" s="27"/>
      <c r="F1050" s="27"/>
      <c r="G1050" s="27"/>
      <c r="H1050" s="27"/>
      <c r="I1050" s="27"/>
      <c r="J1050" s="27"/>
      <c r="K1050" s="27"/>
      <c r="L1050" s="27"/>
      <c r="M1050" s="27"/>
    </row>
    <row r="1051" spans="2:13" ht="15">
      <c r="B1051" s="8"/>
      <c r="C1051" s="27"/>
      <c r="D1051" s="27"/>
      <c r="E1051" s="27"/>
      <c r="F1051" s="27"/>
      <c r="G1051" s="27"/>
      <c r="H1051" s="27"/>
      <c r="I1051" s="27"/>
      <c r="J1051" s="27"/>
      <c r="K1051" s="27"/>
      <c r="L1051" s="27"/>
      <c r="M1051" s="27"/>
    </row>
    <row r="1052" spans="2:13" ht="15">
      <c r="B1052" s="8"/>
      <c r="C1052" s="27"/>
      <c r="D1052" s="27"/>
      <c r="E1052" s="27"/>
      <c r="F1052" s="27"/>
      <c r="G1052" s="27"/>
      <c r="H1052" s="27"/>
      <c r="I1052" s="27"/>
      <c r="J1052" s="27"/>
      <c r="K1052" s="27"/>
      <c r="L1052" s="27"/>
      <c r="M1052" s="27"/>
    </row>
    <row r="1053" spans="2:13" ht="15">
      <c r="B1053" s="8"/>
      <c r="C1053" s="27"/>
      <c r="D1053" s="27"/>
      <c r="E1053" s="27"/>
      <c r="F1053" s="27"/>
      <c r="G1053" s="27"/>
      <c r="H1053" s="27"/>
      <c r="I1053" s="27"/>
      <c r="J1053" s="27"/>
      <c r="K1053" s="27"/>
      <c r="L1053" s="27"/>
      <c r="M1053" s="27"/>
    </row>
    <row r="1054" spans="2:13" ht="15">
      <c r="B1054" s="8"/>
      <c r="C1054" s="27"/>
      <c r="D1054" s="27"/>
      <c r="E1054" s="27"/>
      <c r="F1054" s="27"/>
      <c r="G1054" s="27"/>
      <c r="H1054" s="27"/>
      <c r="I1054" s="27"/>
      <c r="J1054" s="27"/>
      <c r="K1054" s="27"/>
      <c r="L1054" s="27"/>
      <c r="M1054" s="27"/>
    </row>
    <row r="1055" spans="2:13" ht="15">
      <c r="B1055" s="8"/>
      <c r="C1055" s="27"/>
      <c r="D1055" s="27"/>
      <c r="E1055" s="27"/>
      <c r="F1055" s="27"/>
      <c r="G1055" s="27"/>
      <c r="H1055" s="27"/>
      <c r="I1055" s="27"/>
      <c r="J1055" s="27"/>
      <c r="K1055" s="27"/>
      <c r="L1055" s="27"/>
      <c r="M1055" s="27"/>
    </row>
    <row r="1056" spans="2:13" ht="15">
      <c r="B1056" s="8"/>
      <c r="C1056" s="27"/>
      <c r="D1056" s="27"/>
      <c r="E1056" s="27"/>
      <c r="F1056" s="27"/>
      <c r="G1056" s="27"/>
      <c r="H1056" s="27"/>
      <c r="I1056" s="27"/>
      <c r="J1056" s="27"/>
      <c r="K1056" s="27"/>
      <c r="L1056" s="27"/>
      <c r="M1056" s="27"/>
    </row>
    <row r="1057" spans="2:13" ht="15">
      <c r="B1057" s="8"/>
      <c r="C1057" s="27"/>
      <c r="D1057" s="27"/>
      <c r="E1057" s="27"/>
      <c r="F1057" s="27"/>
      <c r="G1057" s="27"/>
      <c r="H1057" s="27"/>
      <c r="I1057" s="27"/>
      <c r="J1057" s="27"/>
      <c r="K1057" s="27"/>
      <c r="L1057" s="27"/>
      <c r="M1057" s="27"/>
    </row>
    <row r="1058" spans="2:13" ht="15">
      <c r="B1058" s="8"/>
      <c r="C1058" s="27"/>
      <c r="D1058" s="27"/>
      <c r="E1058" s="27"/>
      <c r="F1058" s="27"/>
      <c r="G1058" s="27"/>
      <c r="H1058" s="27"/>
      <c r="I1058" s="27"/>
      <c r="J1058" s="27"/>
      <c r="K1058" s="27"/>
      <c r="L1058" s="27"/>
      <c r="M1058" s="27"/>
    </row>
    <row r="1059" spans="2:13" ht="15">
      <c r="B1059" s="8"/>
      <c r="C1059" s="27"/>
      <c r="D1059" s="27"/>
      <c r="E1059" s="27"/>
      <c r="F1059" s="27"/>
      <c r="G1059" s="27"/>
      <c r="H1059" s="27"/>
      <c r="I1059" s="27"/>
      <c r="J1059" s="27"/>
      <c r="K1059" s="27"/>
      <c r="L1059" s="27"/>
      <c r="M1059" s="27"/>
    </row>
    <row r="1060" spans="2:13" ht="15">
      <c r="B1060" s="8"/>
      <c r="C1060" s="27"/>
      <c r="D1060" s="27"/>
      <c r="E1060" s="27"/>
      <c r="F1060" s="27"/>
      <c r="G1060" s="27"/>
      <c r="H1060" s="27"/>
      <c r="I1060" s="27"/>
      <c r="J1060" s="27"/>
      <c r="K1060" s="27"/>
      <c r="L1060" s="27"/>
      <c r="M1060" s="27"/>
    </row>
    <row r="1061" spans="2:13" ht="15">
      <c r="B1061" s="8"/>
      <c r="C1061" s="27"/>
      <c r="D1061" s="27"/>
      <c r="E1061" s="27"/>
      <c r="F1061" s="27"/>
      <c r="G1061" s="27"/>
      <c r="H1061" s="27"/>
      <c r="I1061" s="27"/>
      <c r="J1061" s="27"/>
      <c r="K1061" s="27"/>
      <c r="L1061" s="27"/>
      <c r="M1061" s="27"/>
    </row>
    <row r="1062" spans="2:13" ht="15">
      <c r="B1062" s="8"/>
      <c r="C1062" s="27"/>
      <c r="D1062" s="27"/>
      <c r="E1062" s="27"/>
      <c r="F1062" s="27"/>
      <c r="G1062" s="27"/>
      <c r="H1062" s="27"/>
      <c r="I1062" s="27"/>
      <c r="J1062" s="27"/>
      <c r="K1062" s="27"/>
      <c r="L1062" s="27"/>
      <c r="M1062" s="27"/>
    </row>
    <row r="1063" spans="2:13" ht="15">
      <c r="B1063" s="8"/>
      <c r="C1063" s="27"/>
      <c r="D1063" s="27"/>
      <c r="E1063" s="27"/>
      <c r="F1063" s="27"/>
      <c r="G1063" s="27"/>
      <c r="H1063" s="27"/>
      <c r="I1063" s="27"/>
      <c r="J1063" s="27"/>
      <c r="K1063" s="27"/>
      <c r="L1063" s="27"/>
      <c r="M1063" s="27"/>
    </row>
    <row r="1064" spans="2:13" ht="15">
      <c r="B1064" s="8"/>
      <c r="C1064" s="27"/>
      <c r="D1064" s="27"/>
      <c r="E1064" s="27"/>
      <c r="F1064" s="27"/>
      <c r="G1064" s="27"/>
      <c r="H1064" s="27"/>
      <c r="I1064" s="27"/>
      <c r="J1064" s="27"/>
      <c r="K1064" s="27"/>
      <c r="L1064" s="27"/>
      <c r="M1064" s="27"/>
    </row>
    <row r="1065" spans="2:13" ht="15">
      <c r="B1065" s="8"/>
      <c r="C1065" s="27"/>
      <c r="D1065" s="27"/>
      <c r="E1065" s="27"/>
      <c r="F1065" s="27"/>
      <c r="G1065" s="27"/>
      <c r="H1065" s="27"/>
      <c r="I1065" s="27"/>
      <c r="J1065" s="27"/>
      <c r="K1065" s="27"/>
      <c r="L1065" s="27"/>
      <c r="M1065" s="27"/>
    </row>
    <row r="1066" spans="2:13" ht="15">
      <c r="B1066" s="8"/>
      <c r="C1066" s="27"/>
      <c r="D1066" s="27"/>
      <c r="E1066" s="27"/>
      <c r="F1066" s="27"/>
      <c r="G1066" s="27"/>
      <c r="H1066" s="27"/>
      <c r="I1066" s="27"/>
      <c r="J1066" s="27"/>
      <c r="K1066" s="27"/>
      <c r="L1066" s="27"/>
      <c r="M1066" s="27"/>
    </row>
    <row r="1067" spans="2:13" ht="15">
      <c r="B1067" s="8"/>
      <c r="C1067" s="27"/>
      <c r="D1067" s="27"/>
      <c r="E1067" s="27"/>
      <c r="F1067" s="27"/>
      <c r="G1067" s="27"/>
      <c r="H1067" s="27"/>
      <c r="I1067" s="27"/>
      <c r="J1067" s="27"/>
      <c r="K1067" s="27"/>
      <c r="L1067" s="27"/>
      <c r="M1067" s="27"/>
    </row>
    <row r="1068" spans="2:13" ht="15">
      <c r="B1068" s="8"/>
      <c r="C1068" s="27"/>
      <c r="D1068" s="27"/>
      <c r="E1068" s="27"/>
      <c r="F1068" s="27"/>
      <c r="G1068" s="27"/>
      <c r="H1068" s="27"/>
      <c r="I1068" s="27"/>
      <c r="J1068" s="27"/>
      <c r="K1068" s="27"/>
      <c r="L1068" s="27"/>
      <c r="M1068" s="27"/>
    </row>
    <row r="1069" spans="2:13" ht="15">
      <c r="B1069" s="8"/>
      <c r="C1069" s="27"/>
      <c r="D1069" s="27"/>
      <c r="E1069" s="27"/>
      <c r="F1069" s="27"/>
      <c r="G1069" s="27"/>
      <c r="H1069" s="27"/>
      <c r="I1069" s="27"/>
      <c r="J1069" s="27"/>
      <c r="K1069" s="27"/>
      <c r="L1069" s="27"/>
      <c r="M1069" s="27"/>
    </row>
    <row r="1070" spans="2:13" ht="15">
      <c r="B1070" s="8"/>
      <c r="C1070" s="27"/>
      <c r="D1070" s="27"/>
      <c r="E1070" s="27"/>
      <c r="F1070" s="27"/>
      <c r="G1070" s="27"/>
      <c r="H1070" s="27"/>
      <c r="I1070" s="27"/>
      <c r="J1070" s="27"/>
      <c r="K1070" s="27"/>
      <c r="L1070" s="27"/>
      <c r="M1070" s="27"/>
    </row>
    <row r="1071" spans="2:13" ht="15">
      <c r="B1071" s="8"/>
      <c r="C1071" s="27"/>
      <c r="D1071" s="27"/>
      <c r="E1071" s="27"/>
      <c r="F1071" s="27"/>
      <c r="G1071" s="27"/>
      <c r="H1071" s="27"/>
      <c r="I1071" s="27"/>
      <c r="J1071" s="27"/>
      <c r="K1071" s="27"/>
      <c r="L1071" s="27"/>
      <c r="M1071" s="27"/>
    </row>
    <row r="1072" spans="2:13" ht="15">
      <c r="B1072" s="8"/>
      <c r="C1072" s="27"/>
      <c r="D1072" s="27"/>
      <c r="E1072" s="27"/>
      <c r="F1072" s="27"/>
      <c r="G1072" s="27"/>
      <c r="H1072" s="27"/>
      <c r="I1072" s="27"/>
      <c r="J1072" s="27"/>
      <c r="K1072" s="27"/>
      <c r="L1072" s="27"/>
      <c r="M1072" s="27"/>
    </row>
    <row r="1073" spans="2:13" ht="15">
      <c r="B1073" s="8"/>
      <c r="C1073" s="27"/>
      <c r="D1073" s="27"/>
      <c r="E1073" s="27"/>
      <c r="F1073" s="27"/>
      <c r="G1073" s="27"/>
      <c r="H1073" s="27"/>
      <c r="I1073" s="27"/>
      <c r="J1073" s="27"/>
      <c r="K1073" s="27"/>
      <c r="L1073" s="27"/>
      <c r="M1073" s="27"/>
    </row>
    <row r="1074" spans="2:13" ht="15">
      <c r="B1074" s="8"/>
      <c r="C1074" s="27"/>
      <c r="D1074" s="27"/>
      <c r="E1074" s="27"/>
      <c r="F1074" s="27"/>
      <c r="G1074" s="27"/>
      <c r="H1074" s="27"/>
      <c r="I1074" s="27"/>
      <c r="J1074" s="27"/>
      <c r="K1074" s="27"/>
      <c r="L1074" s="27"/>
      <c r="M1074" s="27"/>
    </row>
    <row r="1075" spans="2:13" ht="15">
      <c r="B1075" s="8"/>
      <c r="C1075" s="27"/>
      <c r="D1075" s="27"/>
      <c r="E1075" s="27"/>
      <c r="F1075" s="27"/>
      <c r="G1075" s="27"/>
      <c r="H1075" s="27"/>
      <c r="I1075" s="27"/>
      <c r="J1075" s="27"/>
      <c r="K1075" s="27"/>
      <c r="L1075" s="27"/>
      <c r="M1075" s="27"/>
    </row>
    <row r="1076" spans="2:13" ht="15">
      <c r="B1076" s="8"/>
      <c r="C1076" s="27"/>
      <c r="D1076" s="27"/>
      <c r="E1076" s="27"/>
      <c r="F1076" s="27"/>
      <c r="G1076" s="27"/>
      <c r="H1076" s="27"/>
      <c r="I1076" s="27"/>
      <c r="J1076" s="27"/>
      <c r="K1076" s="27"/>
      <c r="L1076" s="27"/>
      <c r="M1076" s="27"/>
    </row>
    <row r="1077" spans="2:13" ht="15">
      <c r="B1077" s="8"/>
      <c r="C1077" s="27"/>
      <c r="D1077" s="27"/>
      <c r="E1077" s="27"/>
      <c r="F1077" s="27"/>
      <c r="G1077" s="27"/>
      <c r="H1077" s="27"/>
      <c r="I1077" s="27"/>
      <c r="J1077" s="27"/>
      <c r="K1077" s="27"/>
      <c r="L1077" s="27"/>
      <c r="M1077" s="27"/>
    </row>
    <row r="1078" spans="2:13" ht="15">
      <c r="B1078" s="8"/>
      <c r="C1078" s="27"/>
      <c r="D1078" s="27"/>
      <c r="E1078" s="27"/>
      <c r="F1078" s="27"/>
      <c r="G1078" s="27"/>
      <c r="H1078" s="27"/>
      <c r="I1078" s="27"/>
      <c r="J1078" s="27"/>
      <c r="K1078" s="27"/>
      <c r="L1078" s="27"/>
      <c r="M1078" s="27"/>
    </row>
    <row r="1079" spans="2:13" ht="15">
      <c r="B1079" s="8"/>
      <c r="C1079" s="27"/>
      <c r="D1079" s="27"/>
      <c r="E1079" s="27"/>
      <c r="F1079" s="27"/>
      <c r="G1079" s="27"/>
      <c r="H1079" s="27"/>
      <c r="I1079" s="27"/>
      <c r="J1079" s="27"/>
      <c r="K1079" s="27"/>
      <c r="L1079" s="27"/>
      <c r="M1079" s="27"/>
    </row>
    <row r="1080" spans="2:13" ht="15">
      <c r="B1080" s="8"/>
      <c r="C1080" s="27"/>
      <c r="D1080" s="27"/>
      <c r="E1080" s="27"/>
      <c r="F1080" s="27"/>
      <c r="G1080" s="27"/>
      <c r="H1080" s="27"/>
      <c r="I1080" s="27"/>
      <c r="J1080" s="27"/>
      <c r="K1080" s="27"/>
      <c r="L1080" s="27"/>
      <c r="M1080" s="27"/>
    </row>
    <row r="1081" spans="2:13" ht="15">
      <c r="B1081" s="8"/>
      <c r="C1081" s="27"/>
      <c r="D1081" s="27"/>
      <c r="E1081" s="27"/>
      <c r="F1081" s="27"/>
      <c r="G1081" s="27"/>
      <c r="H1081" s="27"/>
      <c r="I1081" s="27"/>
      <c r="J1081" s="27"/>
      <c r="K1081" s="27"/>
      <c r="L1081" s="27"/>
      <c r="M1081" s="27"/>
    </row>
    <row r="1082" spans="2:13" ht="15">
      <c r="B1082" s="8"/>
      <c r="C1082" s="27"/>
      <c r="D1082" s="27"/>
      <c r="E1082" s="27"/>
      <c r="F1082" s="27"/>
      <c r="G1082" s="27"/>
      <c r="H1082" s="27"/>
      <c r="I1082" s="27"/>
      <c r="J1082" s="27"/>
      <c r="K1082" s="27"/>
      <c r="L1082" s="27"/>
      <c r="M1082" s="27"/>
    </row>
    <row r="1083" spans="2:13" ht="15">
      <c r="B1083" s="8"/>
      <c r="C1083" s="27"/>
      <c r="D1083" s="27"/>
      <c r="E1083" s="27"/>
      <c r="F1083" s="27"/>
      <c r="G1083" s="27"/>
      <c r="H1083" s="27"/>
      <c r="I1083" s="27"/>
      <c r="J1083" s="27"/>
      <c r="K1083" s="27"/>
      <c r="L1083" s="27"/>
      <c r="M1083" s="27"/>
    </row>
    <row r="1084" spans="2:13" ht="15">
      <c r="B1084" s="8"/>
      <c r="C1084" s="27"/>
      <c r="D1084" s="27"/>
      <c r="E1084" s="27"/>
      <c r="F1084" s="27"/>
      <c r="G1084" s="27"/>
      <c r="H1084" s="27"/>
      <c r="I1084" s="27"/>
      <c r="J1084" s="27"/>
      <c r="K1084" s="27"/>
      <c r="L1084" s="27"/>
      <c r="M1084" s="27"/>
    </row>
    <row r="1085" spans="2:13" ht="15">
      <c r="B1085" s="8"/>
      <c r="C1085" s="27"/>
      <c r="D1085" s="27"/>
      <c r="E1085" s="27"/>
      <c r="F1085" s="27"/>
      <c r="G1085" s="27"/>
      <c r="H1085" s="27"/>
      <c r="I1085" s="27"/>
      <c r="J1085" s="27"/>
      <c r="K1085" s="27"/>
      <c r="L1085" s="27"/>
      <c r="M1085" s="27"/>
    </row>
    <row r="1086" spans="2:13" ht="15">
      <c r="B1086" s="8"/>
      <c r="C1086" s="27"/>
      <c r="D1086" s="27"/>
      <c r="E1086" s="27"/>
      <c r="F1086" s="27"/>
      <c r="G1086" s="27"/>
      <c r="H1086" s="27"/>
      <c r="I1086" s="27"/>
      <c r="J1086" s="27"/>
      <c r="K1086" s="27"/>
      <c r="L1086" s="27"/>
      <c r="M1086" s="27"/>
    </row>
    <row r="1087" spans="2:13" ht="15">
      <c r="B1087" s="8"/>
      <c r="C1087" s="27"/>
      <c r="D1087" s="27"/>
      <c r="E1087" s="27"/>
      <c r="F1087" s="27"/>
      <c r="G1087" s="27"/>
      <c r="H1087" s="27"/>
      <c r="I1087" s="27"/>
      <c r="J1087" s="27"/>
      <c r="K1087" s="27"/>
      <c r="L1087" s="27"/>
      <c r="M1087" s="27"/>
    </row>
    <row r="1088" spans="2:13" ht="15">
      <c r="B1088" s="8"/>
      <c r="C1088" s="27"/>
      <c r="D1088" s="27"/>
      <c r="E1088" s="27"/>
      <c r="F1088" s="27"/>
      <c r="G1088" s="27"/>
      <c r="H1088" s="27"/>
      <c r="I1088" s="27"/>
      <c r="J1088" s="27"/>
      <c r="K1088" s="27"/>
      <c r="L1088" s="27"/>
      <c r="M1088" s="27"/>
    </row>
    <row r="1089" spans="2:13" ht="15">
      <c r="B1089" s="8"/>
      <c r="C1089" s="27"/>
      <c r="D1089" s="27"/>
      <c r="E1089" s="27"/>
      <c r="F1089" s="27"/>
      <c r="G1089" s="27"/>
      <c r="H1089" s="27"/>
      <c r="I1089" s="27"/>
      <c r="J1089" s="27"/>
      <c r="K1089" s="27"/>
      <c r="L1089" s="27"/>
      <c r="M1089" s="27"/>
    </row>
    <row r="1090" spans="2:13" ht="15">
      <c r="B1090" s="8"/>
      <c r="C1090" s="27"/>
      <c r="D1090" s="27"/>
      <c r="E1090" s="27"/>
      <c r="F1090" s="27"/>
      <c r="G1090" s="27"/>
      <c r="H1090" s="27"/>
      <c r="I1090" s="27"/>
      <c r="J1090" s="27"/>
      <c r="K1090" s="27"/>
      <c r="L1090" s="27"/>
      <c r="M1090" s="27"/>
    </row>
    <row r="1091" spans="2:13" ht="15">
      <c r="B1091" s="8"/>
      <c r="C1091" s="27"/>
      <c r="D1091" s="27"/>
      <c r="E1091" s="27"/>
      <c r="F1091" s="27"/>
      <c r="G1091" s="27"/>
      <c r="H1091" s="27"/>
      <c r="I1091" s="27"/>
      <c r="J1091" s="27"/>
      <c r="K1091" s="27"/>
      <c r="L1091" s="27"/>
      <c r="M1091" s="27"/>
    </row>
    <row r="1092" spans="2:13" ht="15">
      <c r="B1092" s="8"/>
      <c r="C1092" s="27"/>
      <c r="D1092" s="27"/>
      <c r="E1092" s="27"/>
      <c r="F1092" s="27"/>
      <c r="G1092" s="27"/>
      <c r="H1092" s="27"/>
      <c r="I1092" s="27"/>
      <c r="J1092" s="27"/>
      <c r="K1092" s="27"/>
      <c r="L1092" s="27"/>
      <c r="M1092" s="27"/>
    </row>
    <row r="1093" spans="2:13" ht="15">
      <c r="B1093" s="8"/>
      <c r="C1093" s="27"/>
      <c r="D1093" s="27"/>
      <c r="E1093" s="27"/>
      <c r="F1093" s="27"/>
      <c r="G1093" s="27"/>
      <c r="H1093" s="27"/>
      <c r="I1093" s="27"/>
      <c r="J1093" s="27"/>
      <c r="K1093" s="27"/>
      <c r="L1093" s="27"/>
      <c r="M1093" s="27"/>
    </row>
    <row r="1094" spans="2:13" ht="15">
      <c r="B1094" s="8"/>
      <c r="C1094" s="27"/>
      <c r="D1094" s="27"/>
      <c r="E1094" s="27"/>
      <c r="F1094" s="27"/>
      <c r="G1094" s="27"/>
      <c r="H1094" s="27"/>
      <c r="I1094" s="27"/>
      <c r="J1094" s="27"/>
      <c r="K1094" s="27"/>
      <c r="L1094" s="27"/>
      <c r="M1094" s="27"/>
    </row>
    <row r="1095" spans="2:13" ht="15">
      <c r="B1095" s="8"/>
      <c r="C1095" s="27"/>
      <c r="D1095" s="27"/>
      <c r="E1095" s="27"/>
      <c r="F1095" s="27"/>
      <c r="G1095" s="27"/>
      <c r="H1095" s="27"/>
      <c r="I1095" s="27"/>
      <c r="J1095" s="27"/>
      <c r="K1095" s="27"/>
      <c r="L1095" s="27"/>
      <c r="M1095" s="27"/>
    </row>
    <row r="1096" spans="2:13" ht="15">
      <c r="B1096" s="8"/>
      <c r="C1096" s="27"/>
      <c r="D1096" s="27"/>
      <c r="E1096" s="27"/>
      <c r="F1096" s="27"/>
      <c r="G1096" s="27"/>
      <c r="H1096" s="27"/>
      <c r="I1096" s="27"/>
      <c r="J1096" s="27"/>
      <c r="K1096" s="27"/>
      <c r="L1096" s="27"/>
      <c r="M1096" s="27"/>
    </row>
    <row r="1097" spans="2:13" ht="15">
      <c r="B1097" s="8"/>
      <c r="C1097" s="27"/>
      <c r="D1097" s="27"/>
      <c r="E1097" s="27"/>
      <c r="F1097" s="27"/>
      <c r="G1097" s="27"/>
      <c r="H1097" s="27"/>
      <c r="I1097" s="27"/>
      <c r="J1097" s="27"/>
      <c r="K1097" s="27"/>
      <c r="L1097" s="27"/>
      <c r="M1097" s="27"/>
    </row>
    <row r="1098" spans="2:13" ht="15">
      <c r="B1098" s="8"/>
      <c r="C1098" s="27"/>
      <c r="D1098" s="27"/>
      <c r="E1098" s="27"/>
      <c r="F1098" s="27"/>
      <c r="G1098" s="27"/>
      <c r="H1098" s="27"/>
      <c r="I1098" s="27"/>
      <c r="J1098" s="27"/>
      <c r="K1098" s="27"/>
      <c r="L1098" s="27"/>
      <c r="M1098" s="27"/>
    </row>
    <row r="1099" spans="2:13" ht="15">
      <c r="B1099" s="8"/>
      <c r="C1099" s="27"/>
      <c r="D1099" s="27"/>
      <c r="E1099" s="27"/>
      <c r="F1099" s="27"/>
      <c r="G1099" s="27"/>
      <c r="H1099" s="27"/>
      <c r="I1099" s="27"/>
      <c r="J1099" s="27"/>
      <c r="K1099" s="27"/>
      <c r="L1099" s="27"/>
      <c r="M1099" s="27"/>
    </row>
    <row r="1100" spans="2:13" ht="15">
      <c r="B1100" s="8"/>
      <c r="C1100" s="27"/>
      <c r="D1100" s="27"/>
      <c r="E1100" s="27"/>
      <c r="F1100" s="27"/>
      <c r="G1100" s="27"/>
      <c r="H1100" s="27"/>
      <c r="I1100" s="27"/>
      <c r="J1100" s="27"/>
      <c r="K1100" s="27"/>
      <c r="L1100" s="27"/>
      <c r="M1100" s="27"/>
    </row>
    <row r="1101" spans="2:13" ht="15">
      <c r="B1101" s="8"/>
      <c r="C1101" s="27"/>
      <c r="D1101" s="27"/>
      <c r="E1101" s="27"/>
      <c r="F1101" s="27"/>
      <c r="G1101" s="27"/>
      <c r="H1101" s="27"/>
      <c r="I1101" s="27"/>
      <c r="J1101" s="27"/>
      <c r="K1101" s="27"/>
      <c r="L1101" s="27"/>
      <c r="M1101" s="27"/>
    </row>
    <row r="1102" spans="2:13" ht="15">
      <c r="B1102" s="8"/>
      <c r="C1102" s="27"/>
      <c r="D1102" s="27"/>
      <c r="E1102" s="27"/>
      <c r="F1102" s="27"/>
      <c r="G1102" s="27"/>
      <c r="H1102" s="27"/>
      <c r="I1102" s="27"/>
      <c r="J1102" s="27"/>
      <c r="K1102" s="27"/>
      <c r="L1102" s="27"/>
      <c r="M1102" s="27"/>
    </row>
    <row r="1103" spans="2:13" ht="15">
      <c r="B1103" s="8"/>
      <c r="C1103" s="27"/>
      <c r="D1103" s="27"/>
      <c r="E1103" s="27"/>
      <c r="F1103" s="27"/>
      <c r="G1103" s="27"/>
      <c r="H1103" s="27"/>
      <c r="I1103" s="27"/>
      <c r="J1103" s="27"/>
      <c r="K1103" s="27"/>
      <c r="L1103" s="27"/>
      <c r="M1103" s="27"/>
    </row>
    <row r="1104" spans="2:13" ht="15">
      <c r="B1104" s="8"/>
      <c r="C1104" s="27"/>
      <c r="D1104" s="27"/>
      <c r="E1104" s="27"/>
      <c r="F1104" s="27"/>
      <c r="G1104" s="27"/>
      <c r="H1104" s="27"/>
      <c r="I1104" s="27"/>
      <c r="J1104" s="27"/>
      <c r="K1104" s="27"/>
      <c r="L1104" s="27"/>
      <c r="M1104" s="27"/>
    </row>
    <row r="1105" spans="2:13" ht="15">
      <c r="B1105" s="8"/>
      <c r="C1105" s="27"/>
      <c r="D1105" s="27"/>
      <c r="E1105" s="27"/>
      <c r="F1105" s="27"/>
      <c r="G1105" s="27"/>
      <c r="H1105" s="27"/>
      <c r="I1105" s="27"/>
      <c r="J1105" s="27"/>
      <c r="K1105" s="27"/>
      <c r="L1105" s="27"/>
      <c r="M1105" s="27"/>
    </row>
    <row r="1106" spans="2:13" ht="15">
      <c r="B1106" s="8"/>
      <c r="C1106" s="27"/>
      <c r="D1106" s="27"/>
      <c r="E1106" s="27"/>
      <c r="F1106" s="27"/>
      <c r="G1106" s="27"/>
      <c r="H1106" s="27"/>
      <c r="I1106" s="27"/>
      <c r="J1106" s="27"/>
      <c r="K1106" s="27"/>
      <c r="L1106" s="27"/>
      <c r="M1106" s="27"/>
    </row>
    <row r="1107" spans="2:13" ht="15">
      <c r="B1107" s="8"/>
      <c r="C1107" s="27"/>
      <c r="D1107" s="27"/>
      <c r="E1107" s="27"/>
      <c r="F1107" s="27"/>
      <c r="G1107" s="27"/>
      <c r="H1107" s="27"/>
      <c r="I1107" s="27"/>
      <c r="J1107" s="27"/>
      <c r="K1107" s="27"/>
      <c r="L1107" s="27"/>
      <c r="M1107" s="27"/>
    </row>
    <row r="1108" spans="2:13" ht="15">
      <c r="B1108" s="8"/>
      <c r="C1108" s="27"/>
      <c r="D1108" s="27"/>
      <c r="E1108" s="27"/>
      <c r="F1108" s="27"/>
      <c r="G1108" s="27"/>
      <c r="H1108" s="27"/>
      <c r="I1108" s="27"/>
      <c r="J1108" s="27"/>
      <c r="K1108" s="27"/>
      <c r="L1108" s="27"/>
      <c r="M1108" s="27"/>
    </row>
    <row r="1109" spans="2:13" ht="15">
      <c r="B1109" s="8"/>
      <c r="C1109" s="27"/>
      <c r="D1109" s="27"/>
      <c r="E1109" s="27"/>
      <c r="F1109" s="27"/>
      <c r="G1109" s="27"/>
      <c r="H1109" s="27"/>
      <c r="I1109" s="27"/>
      <c r="J1109" s="27"/>
      <c r="K1109" s="27"/>
      <c r="L1109" s="27"/>
      <c r="M1109" s="27"/>
    </row>
    <row r="1110" spans="2:13" ht="15">
      <c r="B1110" s="8"/>
      <c r="C1110" s="27"/>
      <c r="D1110" s="27"/>
      <c r="E1110" s="27"/>
      <c r="F1110" s="27"/>
      <c r="G1110" s="27"/>
      <c r="H1110" s="27"/>
      <c r="I1110" s="27"/>
      <c r="J1110" s="27"/>
      <c r="K1110" s="27"/>
      <c r="L1110" s="27"/>
      <c r="M1110" s="27"/>
    </row>
    <row r="1111" spans="2:13" ht="15">
      <c r="B1111" s="8"/>
      <c r="C1111" s="27"/>
      <c r="D1111" s="27"/>
      <c r="E1111" s="27"/>
      <c r="F1111" s="27"/>
      <c r="G1111" s="27"/>
      <c r="H1111" s="27"/>
      <c r="I1111" s="27"/>
      <c r="J1111" s="27"/>
      <c r="K1111" s="27"/>
      <c r="L1111" s="27"/>
      <c r="M1111" s="27"/>
    </row>
    <row r="1112" spans="2:13" ht="15">
      <c r="B1112" s="8"/>
      <c r="C1112" s="27"/>
      <c r="D1112" s="27"/>
      <c r="E1112" s="27"/>
      <c r="F1112" s="27"/>
      <c r="G1112" s="27"/>
      <c r="H1112" s="27"/>
      <c r="I1112" s="27"/>
      <c r="J1112" s="27"/>
      <c r="K1112" s="27"/>
      <c r="L1112" s="27"/>
      <c r="M1112" s="27"/>
    </row>
    <row r="1113" spans="2:13" ht="15">
      <c r="B1113" s="8"/>
      <c r="C1113" s="27"/>
      <c r="D1113" s="27"/>
      <c r="E1113" s="27"/>
      <c r="F1113" s="27"/>
      <c r="G1113" s="27"/>
      <c r="H1113" s="27"/>
      <c r="I1113" s="27"/>
      <c r="J1113" s="27"/>
      <c r="K1113" s="27"/>
      <c r="L1113" s="27"/>
      <c r="M1113" s="27"/>
    </row>
    <row r="1114" spans="2:13" ht="15">
      <c r="B1114" s="8"/>
      <c r="C1114" s="27"/>
      <c r="D1114" s="27"/>
      <c r="E1114" s="27"/>
      <c r="F1114" s="27"/>
      <c r="G1114" s="27"/>
      <c r="H1114" s="27"/>
      <c r="I1114" s="27"/>
      <c r="J1114" s="27"/>
      <c r="K1114" s="27"/>
      <c r="L1114" s="27"/>
      <c r="M1114" s="27"/>
    </row>
    <row r="1115" spans="2:13" ht="15">
      <c r="B1115" s="8"/>
      <c r="C1115" s="27"/>
      <c r="D1115" s="27"/>
      <c r="E1115" s="27"/>
      <c r="F1115" s="27"/>
      <c r="G1115" s="27"/>
      <c r="H1115" s="27"/>
      <c r="I1115" s="27"/>
      <c r="J1115" s="27"/>
      <c r="K1115" s="27"/>
      <c r="L1115" s="27"/>
      <c r="M1115" s="27"/>
    </row>
    <row r="1116" spans="2:13" ht="15">
      <c r="B1116" s="8"/>
      <c r="C1116" s="27"/>
      <c r="D1116" s="27"/>
      <c r="E1116" s="27"/>
      <c r="F1116" s="27"/>
      <c r="G1116" s="27"/>
      <c r="H1116" s="27"/>
      <c r="I1116" s="27"/>
      <c r="J1116" s="27"/>
      <c r="K1116" s="27"/>
      <c r="L1116" s="27"/>
      <c r="M1116" s="27"/>
    </row>
    <row r="1117" spans="2:13" ht="15">
      <c r="B1117" s="8"/>
      <c r="C1117" s="27"/>
      <c r="D1117" s="27"/>
      <c r="E1117" s="27"/>
      <c r="F1117" s="27"/>
      <c r="G1117" s="27"/>
      <c r="H1117" s="27"/>
      <c r="I1117" s="27"/>
      <c r="J1117" s="27"/>
      <c r="K1117" s="27"/>
      <c r="L1117" s="27"/>
      <c r="M1117" s="27"/>
    </row>
    <row r="1118" spans="2:13" ht="15">
      <c r="B1118" s="8"/>
      <c r="C1118" s="27"/>
      <c r="D1118" s="27"/>
      <c r="E1118" s="27"/>
      <c r="F1118" s="27"/>
      <c r="G1118" s="27"/>
      <c r="H1118" s="27"/>
      <c r="I1118" s="27"/>
      <c r="J1118" s="27"/>
      <c r="K1118" s="27"/>
      <c r="L1118" s="27"/>
      <c r="M1118" s="27"/>
    </row>
    <row r="1119" spans="2:13" ht="15">
      <c r="B1119" s="8"/>
      <c r="C1119" s="27"/>
      <c r="D1119" s="27"/>
      <c r="E1119" s="27"/>
      <c r="F1119" s="27"/>
      <c r="G1119" s="27"/>
      <c r="H1119" s="27"/>
      <c r="I1119" s="27"/>
      <c r="J1119" s="27"/>
      <c r="K1119" s="27"/>
      <c r="L1119" s="27"/>
      <c r="M1119" s="27"/>
    </row>
    <row r="1120" spans="2:13" ht="15">
      <c r="B1120" s="8"/>
      <c r="C1120" s="27"/>
      <c r="D1120" s="27"/>
      <c r="E1120" s="27"/>
      <c r="F1120" s="27"/>
      <c r="G1120" s="27"/>
      <c r="H1120" s="27"/>
      <c r="I1120" s="27"/>
      <c r="J1120" s="27"/>
      <c r="K1120" s="27"/>
      <c r="L1120" s="27"/>
      <c r="M1120" s="27"/>
    </row>
    <row r="1121" spans="2:13" ht="15">
      <c r="B1121" s="8"/>
      <c r="C1121" s="27"/>
      <c r="D1121" s="27"/>
      <c r="E1121" s="27"/>
      <c r="F1121" s="27"/>
      <c r="G1121" s="27"/>
      <c r="H1121" s="27"/>
      <c r="I1121" s="27"/>
      <c r="J1121" s="27"/>
      <c r="K1121" s="27"/>
      <c r="L1121" s="27"/>
      <c r="M1121" s="27"/>
    </row>
    <row r="1122" spans="2:13" ht="15">
      <c r="B1122" s="8"/>
      <c r="C1122" s="27"/>
      <c r="D1122" s="27"/>
      <c r="E1122" s="27"/>
      <c r="F1122" s="27"/>
      <c r="G1122" s="27"/>
      <c r="H1122" s="27"/>
      <c r="I1122" s="27"/>
      <c r="J1122" s="27"/>
      <c r="K1122" s="27"/>
      <c r="L1122" s="27"/>
      <c r="M1122" s="27"/>
    </row>
    <row r="1123" spans="2:13" ht="15">
      <c r="B1123" s="8"/>
      <c r="C1123" s="27"/>
      <c r="D1123" s="27"/>
      <c r="E1123" s="27"/>
      <c r="F1123" s="27"/>
      <c r="G1123" s="27"/>
      <c r="H1123" s="27"/>
      <c r="I1123" s="27"/>
      <c r="J1123" s="27"/>
      <c r="K1123" s="27"/>
      <c r="L1123" s="27"/>
      <c r="M1123" s="27"/>
    </row>
    <row r="1124" spans="2:13" ht="15">
      <c r="B1124" s="8"/>
      <c r="C1124" s="27"/>
      <c r="D1124" s="27"/>
      <c r="E1124" s="27"/>
      <c r="F1124" s="27"/>
      <c r="G1124" s="27"/>
      <c r="H1124" s="27"/>
      <c r="I1124" s="27"/>
      <c r="J1124" s="27"/>
      <c r="K1124" s="27"/>
      <c r="L1124" s="27"/>
      <c r="M1124" s="27"/>
    </row>
    <row r="1125" spans="2:13" ht="15">
      <c r="B1125" s="8"/>
      <c r="C1125" s="27"/>
      <c r="D1125" s="27"/>
      <c r="E1125" s="27"/>
      <c r="F1125" s="27"/>
      <c r="G1125" s="27"/>
      <c r="H1125" s="27"/>
      <c r="I1125" s="27"/>
      <c r="J1125" s="27"/>
      <c r="K1125" s="27"/>
      <c r="L1125" s="27"/>
      <c r="M1125" s="27"/>
    </row>
    <row r="1126" spans="2:13" ht="15">
      <c r="B1126" s="8"/>
      <c r="C1126" s="27"/>
      <c r="D1126" s="27"/>
      <c r="E1126" s="27"/>
      <c r="F1126" s="27"/>
      <c r="G1126" s="27"/>
      <c r="H1126" s="27"/>
      <c r="I1126" s="27"/>
      <c r="J1126" s="27"/>
      <c r="K1126" s="27"/>
      <c r="L1126" s="27"/>
      <c r="M1126" s="27"/>
    </row>
    <row r="1127" spans="2:13" ht="15">
      <c r="B1127" s="8"/>
      <c r="C1127" s="27"/>
      <c r="D1127" s="27"/>
      <c r="E1127" s="27"/>
      <c r="F1127" s="27"/>
      <c r="G1127" s="27"/>
      <c r="H1127" s="27"/>
      <c r="I1127" s="27"/>
      <c r="J1127" s="27"/>
      <c r="K1127" s="27"/>
      <c r="L1127" s="27"/>
      <c r="M1127" s="27"/>
    </row>
    <row r="1128" spans="2:13" ht="15">
      <c r="B1128" s="8"/>
      <c r="C1128" s="27"/>
      <c r="D1128" s="27"/>
      <c r="E1128" s="27"/>
      <c r="F1128" s="27"/>
      <c r="G1128" s="27"/>
      <c r="H1128" s="27"/>
      <c r="I1128" s="27"/>
      <c r="J1128" s="27"/>
      <c r="K1128" s="27"/>
      <c r="L1128" s="27"/>
      <c r="M1128" s="27"/>
    </row>
    <row r="1129" spans="2:13" ht="15">
      <c r="B1129" s="8"/>
      <c r="C1129" s="27"/>
      <c r="D1129" s="27"/>
      <c r="E1129" s="27"/>
      <c r="F1129" s="27"/>
      <c r="G1129" s="27"/>
      <c r="H1129" s="27"/>
      <c r="I1129" s="27"/>
      <c r="J1129" s="27"/>
      <c r="K1129" s="27"/>
      <c r="L1129" s="27"/>
      <c r="M1129" s="27"/>
    </row>
    <row r="1130" spans="2:13" ht="15">
      <c r="B1130" s="8"/>
      <c r="C1130" s="27"/>
      <c r="D1130" s="27"/>
      <c r="E1130" s="27"/>
      <c r="F1130" s="27"/>
      <c r="G1130" s="27"/>
      <c r="H1130" s="27"/>
      <c r="I1130" s="27"/>
      <c r="J1130" s="27"/>
      <c r="K1130" s="27"/>
      <c r="L1130" s="27"/>
      <c r="M1130" s="27"/>
    </row>
    <row r="1131" spans="2:13" ht="15">
      <c r="B1131" s="8"/>
      <c r="C1131" s="27"/>
      <c r="D1131" s="27"/>
      <c r="E1131" s="27"/>
      <c r="F1131" s="27"/>
      <c r="G1131" s="27"/>
      <c r="H1131" s="27"/>
      <c r="I1131" s="27"/>
      <c r="J1131" s="27"/>
      <c r="K1131" s="27"/>
      <c r="L1131" s="27"/>
      <c r="M1131" s="27"/>
    </row>
    <row r="1132" spans="2:13" ht="15">
      <c r="B1132" s="8"/>
      <c r="C1132" s="27"/>
      <c r="D1132" s="27"/>
      <c r="E1132" s="27"/>
      <c r="F1132" s="27"/>
      <c r="G1132" s="27"/>
      <c r="H1132" s="27"/>
      <c r="I1132" s="27"/>
      <c r="J1132" s="27"/>
      <c r="K1132" s="27"/>
      <c r="L1132" s="27"/>
      <c r="M1132" s="27"/>
    </row>
    <row r="1133" spans="2:13" ht="15">
      <c r="B1133" s="8"/>
      <c r="C1133" s="27"/>
      <c r="D1133" s="27"/>
      <c r="E1133" s="27"/>
      <c r="F1133" s="27"/>
      <c r="G1133" s="27"/>
      <c r="H1133" s="27"/>
      <c r="I1133" s="27"/>
      <c r="J1133" s="27"/>
      <c r="K1133" s="27"/>
      <c r="L1133" s="27"/>
      <c r="M1133" s="27"/>
    </row>
    <row r="1134" spans="2:13" ht="15">
      <c r="B1134" s="8"/>
      <c r="C1134" s="27"/>
      <c r="D1134" s="27"/>
      <c r="E1134" s="27"/>
      <c r="F1134" s="27"/>
      <c r="G1134" s="27"/>
      <c r="H1134" s="27"/>
      <c r="I1134" s="27"/>
      <c r="J1134" s="27"/>
      <c r="K1134" s="27"/>
      <c r="L1134" s="27"/>
      <c r="M1134" s="27"/>
    </row>
    <row r="1135" spans="2:13" ht="15">
      <c r="B1135" s="8"/>
      <c r="C1135" s="27"/>
      <c r="D1135" s="27"/>
      <c r="E1135" s="27"/>
      <c r="F1135" s="27"/>
      <c r="G1135" s="27"/>
      <c r="H1135" s="27"/>
      <c r="I1135" s="27"/>
      <c r="J1135" s="27"/>
      <c r="K1135" s="27"/>
      <c r="L1135" s="27"/>
      <c r="M1135" s="27"/>
    </row>
    <row r="1136" spans="2:13" ht="15">
      <c r="B1136" s="8"/>
      <c r="C1136" s="27"/>
      <c r="D1136" s="27"/>
      <c r="E1136" s="27"/>
      <c r="F1136" s="27"/>
      <c r="G1136" s="27"/>
      <c r="H1136" s="27"/>
      <c r="I1136" s="27"/>
      <c r="J1136" s="27"/>
      <c r="K1136" s="27"/>
      <c r="L1136" s="27"/>
      <c r="M1136" s="27"/>
    </row>
    <row r="1137" spans="2:13" ht="15">
      <c r="B1137" s="8"/>
      <c r="C1137" s="27"/>
      <c r="D1137" s="27"/>
      <c r="E1137" s="27"/>
      <c r="F1137" s="27"/>
      <c r="G1137" s="27"/>
      <c r="H1137" s="27"/>
      <c r="I1137" s="27"/>
      <c r="J1137" s="27"/>
      <c r="K1137" s="27"/>
      <c r="L1137" s="27"/>
      <c r="M1137" s="27"/>
    </row>
    <row r="1138" spans="2:13" ht="15">
      <c r="B1138" s="8"/>
      <c r="C1138" s="27"/>
      <c r="D1138" s="27"/>
      <c r="E1138" s="27"/>
      <c r="F1138" s="27"/>
      <c r="G1138" s="27"/>
      <c r="H1138" s="27"/>
      <c r="I1138" s="27"/>
      <c r="J1138" s="27"/>
      <c r="K1138" s="27"/>
      <c r="L1138" s="27"/>
      <c r="M1138" s="27"/>
    </row>
    <row r="1139" spans="2:13" ht="15">
      <c r="B1139" s="8"/>
      <c r="C1139" s="27"/>
      <c r="D1139" s="27"/>
      <c r="E1139" s="27"/>
      <c r="F1139" s="27"/>
      <c r="G1139" s="27"/>
      <c r="H1139" s="27"/>
      <c r="I1139" s="27"/>
      <c r="J1139" s="27"/>
      <c r="K1139" s="27"/>
      <c r="L1139" s="27"/>
      <c r="M1139" s="27"/>
    </row>
    <row r="1140" spans="2:13" ht="15">
      <c r="B1140" s="8"/>
      <c r="C1140" s="27"/>
      <c r="D1140" s="27"/>
      <c r="E1140" s="27"/>
      <c r="F1140" s="27"/>
      <c r="G1140" s="27"/>
      <c r="H1140" s="27"/>
      <c r="I1140" s="27"/>
      <c r="J1140" s="27"/>
      <c r="K1140" s="27"/>
      <c r="L1140" s="27"/>
      <c r="M1140" s="27"/>
    </row>
    <row r="1141" spans="2:13" ht="15">
      <c r="B1141" s="8"/>
      <c r="C1141" s="27"/>
      <c r="D1141" s="27"/>
      <c r="E1141" s="27"/>
      <c r="F1141" s="27"/>
      <c r="G1141" s="27"/>
      <c r="H1141" s="27"/>
      <c r="I1141" s="27"/>
      <c r="J1141" s="27"/>
      <c r="K1141" s="27"/>
      <c r="L1141" s="27"/>
      <c r="M1141" s="27"/>
    </row>
    <row r="1142" spans="2:13" ht="15">
      <c r="B1142" s="8"/>
      <c r="C1142" s="27"/>
      <c r="D1142" s="27"/>
      <c r="E1142" s="27"/>
      <c r="F1142" s="27"/>
      <c r="G1142" s="27"/>
      <c r="H1142" s="27"/>
      <c r="I1142" s="27"/>
      <c r="J1142" s="27"/>
      <c r="K1142" s="27"/>
      <c r="L1142" s="27"/>
      <c r="M1142" s="27"/>
    </row>
    <row r="1143" spans="2:13" ht="15">
      <c r="B1143" s="8"/>
      <c r="C1143" s="27"/>
      <c r="D1143" s="27"/>
      <c r="E1143" s="27"/>
      <c r="F1143" s="27"/>
      <c r="G1143" s="27"/>
      <c r="H1143" s="27"/>
      <c r="I1143" s="27"/>
      <c r="J1143" s="27"/>
      <c r="K1143" s="27"/>
      <c r="L1143" s="27"/>
      <c r="M1143" s="27"/>
    </row>
    <row r="1144" spans="2:13" ht="15">
      <c r="B1144" s="8"/>
      <c r="C1144" s="27"/>
      <c r="D1144" s="27"/>
      <c r="E1144" s="27"/>
      <c r="F1144" s="27"/>
      <c r="G1144" s="27"/>
      <c r="H1144" s="27"/>
      <c r="I1144" s="27"/>
      <c r="J1144" s="27"/>
      <c r="K1144" s="27"/>
      <c r="L1144" s="27"/>
      <c r="M1144" s="27"/>
    </row>
    <row r="1145" spans="2:13" ht="15">
      <c r="B1145" s="8"/>
      <c r="C1145" s="27"/>
      <c r="D1145" s="27"/>
      <c r="E1145" s="27"/>
      <c r="F1145" s="27"/>
      <c r="G1145" s="27"/>
      <c r="H1145" s="27"/>
      <c r="I1145" s="27"/>
      <c r="J1145" s="27"/>
      <c r="K1145" s="27"/>
      <c r="L1145" s="27"/>
      <c r="M1145" s="27"/>
    </row>
    <row r="1146" spans="2:13" ht="15">
      <c r="B1146" s="8"/>
      <c r="C1146" s="27"/>
      <c r="D1146" s="27"/>
      <c r="E1146" s="27"/>
      <c r="F1146" s="27"/>
      <c r="G1146" s="27"/>
      <c r="H1146" s="27"/>
      <c r="I1146" s="27"/>
      <c r="J1146" s="27"/>
      <c r="K1146" s="27"/>
      <c r="L1146" s="27"/>
      <c r="M1146" s="27"/>
    </row>
    <row r="1147" spans="2:13" ht="15">
      <c r="B1147" s="8"/>
      <c r="C1147" s="27"/>
      <c r="D1147" s="27"/>
      <c r="E1147" s="27"/>
      <c r="F1147" s="27"/>
      <c r="G1147" s="27"/>
      <c r="H1147" s="27"/>
      <c r="I1147" s="27"/>
      <c r="J1147" s="27"/>
      <c r="K1147" s="27"/>
      <c r="L1147" s="27"/>
      <c r="M1147" s="27"/>
    </row>
    <row r="1148" spans="2:13" ht="15">
      <c r="B1148" s="8"/>
      <c r="C1148" s="27"/>
      <c r="D1148" s="27"/>
      <c r="E1148" s="27"/>
      <c r="F1148" s="27"/>
      <c r="G1148" s="27"/>
      <c r="H1148" s="27"/>
      <c r="I1148" s="27"/>
      <c r="J1148" s="27"/>
      <c r="K1148" s="27"/>
      <c r="L1148" s="27"/>
      <c r="M1148" s="27"/>
    </row>
    <row r="1149" spans="2:13" ht="15">
      <c r="B1149" s="8"/>
      <c r="C1149" s="27"/>
      <c r="D1149" s="27"/>
      <c r="E1149" s="27"/>
      <c r="F1149" s="27"/>
      <c r="G1149" s="27"/>
      <c r="H1149" s="27"/>
      <c r="I1149" s="27"/>
      <c r="J1149" s="27"/>
      <c r="K1149" s="27"/>
      <c r="L1149" s="27"/>
      <c r="M1149" s="27"/>
    </row>
    <row r="1150" spans="2:13" ht="15">
      <c r="B1150" s="8"/>
      <c r="C1150" s="27"/>
      <c r="D1150" s="27"/>
      <c r="E1150" s="27"/>
      <c r="F1150" s="27"/>
      <c r="G1150" s="27"/>
      <c r="H1150" s="27"/>
      <c r="I1150" s="27"/>
      <c r="J1150" s="27"/>
      <c r="K1150" s="27"/>
      <c r="L1150" s="27"/>
      <c r="M1150" s="27"/>
    </row>
    <row r="1151" spans="2:13" ht="15">
      <c r="B1151" s="8"/>
      <c r="C1151" s="27"/>
      <c r="D1151" s="27"/>
      <c r="E1151" s="27"/>
      <c r="F1151" s="27"/>
      <c r="G1151" s="27"/>
      <c r="H1151" s="27"/>
      <c r="I1151" s="27"/>
      <c r="J1151" s="27"/>
      <c r="K1151" s="27"/>
      <c r="L1151" s="27"/>
      <c r="M1151" s="27"/>
    </row>
    <row r="1152" spans="2:13" ht="15">
      <c r="B1152" s="8"/>
      <c r="C1152" s="27"/>
      <c r="D1152" s="27"/>
      <c r="E1152" s="27"/>
      <c r="F1152" s="27"/>
      <c r="G1152" s="27"/>
      <c r="H1152" s="27"/>
      <c r="I1152" s="27"/>
      <c r="J1152" s="27"/>
      <c r="K1152" s="27"/>
      <c r="L1152" s="27"/>
      <c r="M1152" s="27"/>
    </row>
    <row r="1153" spans="2:13" ht="15">
      <c r="B1153" s="8"/>
      <c r="C1153" s="27"/>
      <c r="D1153" s="27"/>
      <c r="E1153" s="27"/>
      <c r="F1153" s="27"/>
      <c r="G1153" s="27"/>
      <c r="H1153" s="27"/>
      <c r="I1153" s="27"/>
      <c r="J1153" s="27"/>
      <c r="K1153" s="27"/>
      <c r="L1153" s="27"/>
      <c r="M1153" s="27"/>
    </row>
    <row r="1154" spans="2:13" ht="15">
      <c r="B1154" s="8"/>
      <c r="C1154" s="27"/>
      <c r="D1154" s="27"/>
      <c r="E1154" s="27"/>
      <c r="F1154" s="27"/>
      <c r="G1154" s="27"/>
      <c r="H1154" s="27"/>
      <c r="I1154" s="27"/>
      <c r="J1154" s="27"/>
      <c r="K1154" s="27"/>
      <c r="L1154" s="27"/>
      <c r="M1154" s="27"/>
    </row>
    <row r="1155" spans="2:13" ht="15">
      <c r="B1155" s="8"/>
      <c r="C1155" s="27"/>
      <c r="D1155" s="27"/>
      <c r="E1155" s="27"/>
      <c r="F1155" s="27"/>
      <c r="G1155" s="27"/>
      <c r="H1155" s="27"/>
      <c r="I1155" s="27"/>
      <c r="J1155" s="27"/>
      <c r="K1155" s="27"/>
      <c r="L1155" s="27"/>
      <c r="M1155" s="27"/>
    </row>
    <row r="1156" spans="2:13" ht="15">
      <c r="B1156" s="8"/>
      <c r="C1156" s="27"/>
      <c r="D1156" s="27"/>
      <c r="E1156" s="27"/>
      <c r="F1156" s="27"/>
      <c r="G1156" s="27"/>
      <c r="H1156" s="27"/>
      <c r="I1156" s="27"/>
      <c r="J1156" s="27"/>
      <c r="K1156" s="27"/>
      <c r="L1156" s="27"/>
      <c r="M1156" s="27"/>
    </row>
    <row r="1157" spans="2:13" ht="15">
      <c r="B1157" s="8"/>
      <c r="C1157" s="27"/>
      <c r="D1157" s="27"/>
      <c r="E1157" s="27"/>
      <c r="F1157" s="27"/>
      <c r="G1157" s="27"/>
      <c r="H1157" s="27"/>
      <c r="I1157" s="27"/>
      <c r="J1157" s="27"/>
      <c r="K1157" s="27"/>
      <c r="L1157" s="27"/>
      <c r="M1157" s="27"/>
    </row>
    <row r="1158" spans="2:13" ht="15">
      <c r="B1158" s="8"/>
      <c r="C1158" s="27"/>
      <c r="D1158" s="27"/>
      <c r="E1158" s="27"/>
      <c r="F1158" s="27"/>
      <c r="G1158" s="27"/>
      <c r="H1158" s="27"/>
      <c r="I1158" s="27"/>
      <c r="J1158" s="27"/>
      <c r="K1158" s="27"/>
      <c r="L1158" s="27"/>
      <c r="M1158" s="27"/>
    </row>
    <row r="1159" spans="2:13" ht="15">
      <c r="B1159" s="8"/>
      <c r="C1159" s="27"/>
      <c r="D1159" s="27"/>
      <c r="E1159" s="27"/>
      <c r="F1159" s="27"/>
      <c r="G1159" s="27"/>
      <c r="H1159" s="27"/>
      <c r="I1159" s="27"/>
      <c r="J1159" s="27"/>
      <c r="K1159" s="27"/>
      <c r="L1159" s="27"/>
      <c r="M1159" s="27"/>
    </row>
    <row r="1160" spans="2:13" ht="15">
      <c r="B1160" s="8"/>
      <c r="C1160" s="27"/>
      <c r="D1160" s="27"/>
      <c r="E1160" s="27"/>
      <c r="F1160" s="27"/>
      <c r="G1160" s="27"/>
      <c r="H1160" s="27"/>
      <c r="I1160" s="27"/>
      <c r="J1160" s="27"/>
      <c r="K1160" s="27"/>
      <c r="L1160" s="27"/>
      <c r="M1160" s="27"/>
    </row>
    <row r="1161" spans="2:13" ht="15">
      <c r="B1161" s="8"/>
      <c r="C1161" s="27"/>
      <c r="D1161" s="27"/>
      <c r="E1161" s="27"/>
      <c r="F1161" s="27"/>
      <c r="G1161" s="27"/>
      <c r="H1161" s="27"/>
      <c r="I1161" s="27"/>
      <c r="J1161" s="27"/>
      <c r="K1161" s="27"/>
      <c r="L1161" s="27"/>
      <c r="M1161" s="27"/>
    </row>
    <row r="1162" spans="2:13" ht="15">
      <c r="B1162" s="8"/>
      <c r="C1162" s="27"/>
      <c r="D1162" s="27"/>
      <c r="E1162" s="27"/>
      <c r="F1162" s="27"/>
      <c r="G1162" s="27"/>
      <c r="H1162" s="27"/>
      <c r="I1162" s="27"/>
      <c r="J1162" s="27"/>
      <c r="K1162" s="27"/>
      <c r="L1162" s="27"/>
      <c r="M1162" s="27"/>
    </row>
    <row r="1163" spans="2:13" ht="15">
      <c r="B1163" s="8"/>
      <c r="C1163" s="27"/>
      <c r="D1163" s="27"/>
      <c r="E1163" s="27"/>
      <c r="F1163" s="27"/>
      <c r="G1163" s="27"/>
      <c r="H1163" s="27"/>
      <c r="I1163" s="27"/>
      <c r="J1163" s="27"/>
      <c r="K1163" s="27"/>
      <c r="L1163" s="27"/>
      <c r="M1163" s="27"/>
    </row>
    <row r="1164" spans="2:13" ht="15">
      <c r="B1164" s="8"/>
      <c r="C1164" s="27"/>
      <c r="D1164" s="27"/>
      <c r="E1164" s="27"/>
      <c r="F1164" s="27"/>
      <c r="G1164" s="27"/>
      <c r="H1164" s="27"/>
      <c r="I1164" s="27"/>
      <c r="J1164" s="27"/>
      <c r="K1164" s="27"/>
      <c r="L1164" s="27"/>
      <c r="M1164" s="27"/>
    </row>
    <row r="1165" spans="2:13" ht="15">
      <c r="B1165" s="8"/>
      <c r="C1165" s="27"/>
      <c r="D1165" s="27"/>
      <c r="E1165" s="27"/>
      <c r="F1165" s="27"/>
      <c r="G1165" s="27"/>
      <c r="H1165" s="27"/>
      <c r="I1165" s="27"/>
      <c r="J1165" s="27"/>
      <c r="K1165" s="27"/>
      <c r="L1165" s="27"/>
      <c r="M1165" s="27"/>
    </row>
    <row r="1166" spans="2:13" ht="15">
      <c r="B1166" s="8"/>
      <c r="C1166" s="27"/>
      <c r="D1166" s="27"/>
      <c r="E1166" s="27"/>
      <c r="F1166" s="27"/>
      <c r="G1166" s="27"/>
      <c r="H1166" s="27"/>
      <c r="I1166" s="27"/>
      <c r="J1166" s="27"/>
      <c r="K1166" s="27"/>
      <c r="L1166" s="27"/>
      <c r="M1166" s="27"/>
    </row>
    <row r="1167" spans="2:13" ht="15">
      <c r="B1167" s="8"/>
      <c r="C1167" s="27"/>
      <c r="D1167" s="27"/>
      <c r="E1167" s="27"/>
      <c r="F1167" s="27"/>
      <c r="G1167" s="27"/>
      <c r="H1167" s="27"/>
      <c r="I1167" s="27"/>
      <c r="J1167" s="27"/>
      <c r="K1167" s="27"/>
      <c r="L1167" s="27"/>
      <c r="M1167" s="27"/>
    </row>
    <row r="1168" spans="2:13" ht="15">
      <c r="B1168" s="8"/>
      <c r="C1168" s="27"/>
      <c r="D1168" s="27"/>
      <c r="E1168" s="27"/>
      <c r="F1168" s="27"/>
      <c r="G1168" s="27"/>
      <c r="H1168" s="27"/>
      <c r="I1168" s="27"/>
      <c r="J1168" s="27"/>
      <c r="K1168" s="27"/>
      <c r="L1168" s="27"/>
      <c r="M1168" s="27"/>
    </row>
    <row r="1169" spans="2:13" ht="15">
      <c r="B1169" s="8"/>
      <c r="C1169" s="27"/>
      <c r="D1169" s="27"/>
      <c r="E1169" s="27"/>
      <c r="F1169" s="27"/>
      <c r="G1169" s="27"/>
      <c r="H1169" s="27"/>
      <c r="I1169" s="27"/>
      <c r="J1169" s="27"/>
      <c r="K1169" s="27"/>
      <c r="L1169" s="27"/>
      <c r="M1169" s="27"/>
    </row>
    <row r="1170" spans="2:13" ht="15">
      <c r="B1170" s="8"/>
      <c r="C1170" s="27"/>
      <c r="D1170" s="27"/>
      <c r="E1170" s="27"/>
      <c r="F1170" s="27"/>
      <c r="G1170" s="27"/>
      <c r="H1170" s="27"/>
      <c r="I1170" s="27"/>
      <c r="J1170" s="27"/>
      <c r="K1170" s="27"/>
      <c r="L1170" s="27"/>
      <c r="M1170" s="27"/>
    </row>
    <row r="1171" spans="2:13" ht="15">
      <c r="B1171" s="8"/>
      <c r="C1171" s="27"/>
      <c r="D1171" s="27"/>
      <c r="E1171" s="27"/>
      <c r="F1171" s="27"/>
      <c r="G1171" s="27"/>
      <c r="H1171" s="27"/>
      <c r="I1171" s="27"/>
      <c r="J1171" s="27"/>
      <c r="K1171" s="27"/>
      <c r="L1171" s="27"/>
      <c r="M1171" s="27"/>
    </row>
    <row r="1172" spans="2:13" ht="15">
      <c r="B1172" s="8"/>
      <c r="C1172" s="27"/>
      <c r="D1172" s="27"/>
      <c r="E1172" s="27"/>
      <c r="F1172" s="27"/>
      <c r="G1172" s="27"/>
      <c r="H1172" s="27"/>
      <c r="I1172" s="27"/>
      <c r="J1172" s="27"/>
      <c r="K1172" s="27"/>
      <c r="L1172" s="27"/>
      <c r="M1172" s="27"/>
    </row>
    <row r="1173" spans="2:13" ht="15">
      <c r="B1173" s="8"/>
      <c r="C1173" s="27"/>
      <c r="D1173" s="27"/>
      <c r="E1173" s="27"/>
      <c r="F1173" s="27"/>
      <c r="G1173" s="27"/>
      <c r="H1173" s="27"/>
      <c r="I1173" s="27"/>
      <c r="J1173" s="27"/>
      <c r="K1173" s="27"/>
      <c r="L1173" s="27"/>
      <c r="M1173" s="27"/>
    </row>
    <row r="1174" spans="2:13" ht="15">
      <c r="B1174" s="8"/>
      <c r="C1174" s="27"/>
      <c r="D1174" s="27"/>
      <c r="E1174" s="27"/>
      <c r="F1174" s="27"/>
      <c r="G1174" s="27"/>
      <c r="H1174" s="27"/>
      <c r="I1174" s="27"/>
      <c r="J1174" s="27"/>
      <c r="K1174" s="27"/>
      <c r="L1174" s="27"/>
      <c r="M1174" s="27"/>
    </row>
    <row r="1175" spans="2:13" ht="15">
      <c r="B1175" s="8"/>
      <c r="C1175" s="27"/>
      <c r="D1175" s="27"/>
      <c r="E1175" s="27"/>
      <c r="F1175" s="27"/>
      <c r="G1175" s="27"/>
      <c r="H1175" s="27"/>
      <c r="I1175" s="27"/>
      <c r="J1175" s="27"/>
      <c r="K1175" s="27"/>
      <c r="L1175" s="27"/>
      <c r="M1175" s="27"/>
    </row>
    <row r="1176" spans="2:13" ht="15">
      <c r="B1176" s="8"/>
      <c r="C1176" s="27"/>
      <c r="D1176" s="27"/>
      <c r="E1176" s="27"/>
      <c r="F1176" s="27"/>
      <c r="G1176" s="27"/>
      <c r="H1176" s="27"/>
      <c r="I1176" s="27"/>
      <c r="J1176" s="27"/>
      <c r="K1176" s="27"/>
      <c r="L1176" s="27"/>
      <c r="M1176" s="27"/>
    </row>
    <row r="1177" spans="2:13" ht="15">
      <c r="B1177" s="8"/>
      <c r="C1177" s="27"/>
      <c r="D1177" s="27"/>
      <c r="E1177" s="27"/>
      <c r="F1177" s="27"/>
      <c r="G1177" s="27"/>
      <c r="H1177" s="27"/>
      <c r="I1177" s="27"/>
      <c r="J1177" s="27"/>
      <c r="K1177" s="27"/>
      <c r="L1177" s="27"/>
      <c r="M1177" s="27"/>
    </row>
    <row r="1178" spans="2:13" ht="15">
      <c r="B1178" s="8"/>
      <c r="C1178" s="27"/>
      <c r="D1178" s="27"/>
      <c r="E1178" s="27"/>
      <c r="F1178" s="27"/>
      <c r="G1178" s="27"/>
      <c r="H1178" s="27"/>
      <c r="I1178" s="27"/>
      <c r="J1178" s="27"/>
      <c r="K1178" s="27"/>
      <c r="L1178" s="27"/>
      <c r="M1178" s="27"/>
    </row>
    <row r="1179" spans="2:13" ht="15">
      <c r="B1179" s="8"/>
      <c r="C1179" s="27"/>
      <c r="D1179" s="27"/>
      <c r="E1179" s="27"/>
      <c r="F1179" s="27"/>
      <c r="G1179" s="27"/>
      <c r="H1179" s="27"/>
      <c r="I1179" s="27"/>
      <c r="J1179" s="27"/>
      <c r="K1179" s="27"/>
      <c r="L1179" s="27"/>
      <c r="M1179" s="27"/>
    </row>
    <row r="1180" spans="2:13" ht="15">
      <c r="B1180" s="8"/>
      <c r="C1180" s="27"/>
      <c r="D1180" s="27"/>
      <c r="E1180" s="27"/>
      <c r="F1180" s="27"/>
      <c r="G1180" s="27"/>
      <c r="H1180" s="27"/>
      <c r="I1180" s="27"/>
      <c r="J1180" s="27"/>
      <c r="K1180" s="27"/>
      <c r="L1180" s="27"/>
      <c r="M1180" s="27"/>
    </row>
    <row r="1181" spans="2:13" ht="15">
      <c r="B1181" s="8"/>
      <c r="C1181" s="27"/>
      <c r="D1181" s="27"/>
      <c r="E1181" s="27"/>
      <c r="F1181" s="27"/>
      <c r="G1181" s="27"/>
      <c r="H1181" s="27"/>
      <c r="I1181" s="27"/>
      <c r="J1181" s="27"/>
      <c r="K1181" s="27"/>
      <c r="L1181" s="27"/>
      <c r="M1181" s="27"/>
    </row>
    <row r="1182" spans="2:13" ht="15">
      <c r="B1182" s="8"/>
      <c r="C1182" s="27"/>
      <c r="D1182" s="27"/>
      <c r="E1182" s="27"/>
      <c r="F1182" s="27"/>
      <c r="G1182" s="27"/>
      <c r="H1182" s="27"/>
      <c r="I1182" s="27"/>
      <c r="J1182" s="27"/>
      <c r="K1182" s="27"/>
      <c r="L1182" s="27"/>
      <c r="M1182" s="27"/>
    </row>
    <row r="1183" spans="2:13" ht="15">
      <c r="B1183" s="8"/>
      <c r="C1183" s="27"/>
      <c r="D1183" s="27"/>
      <c r="E1183" s="27"/>
      <c r="F1183" s="27"/>
      <c r="G1183" s="27"/>
      <c r="H1183" s="27"/>
      <c r="I1183" s="27"/>
      <c r="J1183" s="27"/>
      <c r="K1183" s="27"/>
      <c r="L1183" s="27"/>
      <c r="M1183" s="27"/>
    </row>
    <row r="1184" spans="2:13" ht="15">
      <c r="B1184" s="8"/>
      <c r="C1184" s="27"/>
      <c r="D1184" s="27"/>
      <c r="E1184" s="27"/>
      <c r="F1184" s="27"/>
      <c r="G1184" s="27"/>
      <c r="H1184" s="27"/>
      <c r="I1184" s="27"/>
      <c r="J1184" s="27"/>
      <c r="K1184" s="27"/>
      <c r="L1184" s="27"/>
      <c r="M1184" s="27"/>
    </row>
    <row r="1185" spans="2:13" ht="15">
      <c r="B1185" s="8"/>
      <c r="C1185" s="27"/>
      <c r="D1185" s="27"/>
      <c r="E1185" s="27"/>
      <c r="F1185" s="27"/>
      <c r="G1185" s="27"/>
      <c r="H1185" s="27"/>
      <c r="I1185" s="27"/>
      <c r="J1185" s="27"/>
      <c r="K1185" s="27"/>
      <c r="L1185" s="27"/>
      <c r="M1185" s="27"/>
    </row>
    <row r="1186" spans="2:13" ht="15">
      <c r="B1186" s="8"/>
      <c r="C1186" s="27"/>
      <c r="D1186" s="27"/>
      <c r="E1186" s="27"/>
      <c r="F1186" s="27"/>
      <c r="G1186" s="27"/>
      <c r="H1186" s="27"/>
      <c r="I1186" s="27"/>
      <c r="J1186" s="27"/>
      <c r="K1186" s="27"/>
      <c r="L1186" s="27"/>
      <c r="M1186" s="27"/>
    </row>
    <row r="1187" spans="2:13" ht="15">
      <c r="B1187" s="8"/>
      <c r="C1187" s="27"/>
      <c r="D1187" s="27"/>
      <c r="E1187" s="27"/>
      <c r="F1187" s="27"/>
      <c r="G1187" s="27"/>
      <c r="H1187" s="27"/>
      <c r="I1187" s="27"/>
      <c r="J1187" s="27"/>
      <c r="K1187" s="27"/>
      <c r="L1187" s="27"/>
      <c r="M1187" s="27"/>
    </row>
    <row r="1188" spans="2:13" ht="15">
      <c r="B1188" s="8"/>
      <c r="C1188" s="27"/>
      <c r="D1188" s="27"/>
      <c r="E1188" s="27"/>
      <c r="F1188" s="27"/>
      <c r="G1188" s="27"/>
      <c r="H1188" s="27"/>
      <c r="I1188" s="27"/>
      <c r="J1188" s="27"/>
      <c r="K1188" s="27"/>
      <c r="L1188" s="27"/>
      <c r="M1188" s="27"/>
    </row>
    <row r="1189" spans="2:13" ht="15">
      <c r="B1189" s="8"/>
      <c r="C1189" s="27"/>
      <c r="D1189" s="27"/>
      <c r="E1189" s="27"/>
      <c r="F1189" s="27"/>
      <c r="G1189" s="27"/>
      <c r="H1189" s="27"/>
      <c r="I1189" s="27"/>
      <c r="J1189" s="27"/>
      <c r="K1189" s="27"/>
      <c r="L1189" s="27"/>
      <c r="M1189" s="27"/>
    </row>
    <row r="1190" spans="2:13" ht="15">
      <c r="B1190" s="8"/>
      <c r="C1190" s="27"/>
      <c r="D1190" s="27"/>
      <c r="E1190" s="27"/>
      <c r="F1190" s="27"/>
      <c r="G1190" s="27"/>
      <c r="H1190" s="27"/>
      <c r="I1190" s="27"/>
      <c r="J1190" s="27"/>
      <c r="K1190" s="27"/>
      <c r="L1190" s="27"/>
      <c r="M1190" s="27"/>
    </row>
    <row r="1191" spans="2:13" ht="15">
      <c r="B1191" s="8"/>
      <c r="C1191" s="27"/>
      <c r="D1191" s="27"/>
      <c r="E1191" s="27"/>
      <c r="F1191" s="27"/>
      <c r="G1191" s="27"/>
      <c r="H1191" s="27"/>
      <c r="I1191" s="27"/>
      <c r="J1191" s="27"/>
      <c r="K1191" s="27"/>
      <c r="L1191" s="27"/>
      <c r="M1191" s="27"/>
    </row>
    <row r="1192" spans="2:13" ht="15">
      <c r="B1192" s="8"/>
      <c r="C1192" s="27"/>
      <c r="D1192" s="27"/>
      <c r="E1192" s="27"/>
      <c r="F1192" s="27"/>
      <c r="G1192" s="27"/>
      <c r="H1192" s="27"/>
      <c r="I1192" s="27"/>
      <c r="J1192" s="27"/>
      <c r="K1192" s="27"/>
      <c r="L1192" s="27"/>
      <c r="M1192" s="27"/>
    </row>
    <row r="1193" spans="2:13" ht="15">
      <c r="B1193" s="8"/>
      <c r="C1193" s="27"/>
      <c r="D1193" s="27"/>
      <c r="E1193" s="27"/>
      <c r="F1193" s="27"/>
      <c r="G1193" s="27"/>
      <c r="H1193" s="27"/>
      <c r="I1193" s="27"/>
      <c r="J1193" s="27"/>
      <c r="K1193" s="27"/>
      <c r="L1193" s="27"/>
      <c r="M1193" s="27"/>
    </row>
    <row r="1194" spans="2:13" ht="15">
      <c r="B1194" s="8"/>
      <c r="C1194" s="27"/>
      <c r="D1194" s="27"/>
      <c r="E1194" s="27"/>
      <c r="F1194" s="27"/>
      <c r="G1194" s="27"/>
      <c r="H1194" s="27"/>
      <c r="I1194" s="27"/>
      <c r="J1194" s="27"/>
      <c r="K1194" s="27"/>
      <c r="L1194" s="27"/>
      <c r="M1194" s="27"/>
    </row>
    <row r="1195" spans="2:13" ht="15">
      <c r="B1195" s="8"/>
      <c r="C1195" s="27"/>
      <c r="D1195" s="27"/>
      <c r="E1195" s="27"/>
      <c r="F1195" s="27"/>
      <c r="G1195" s="27"/>
      <c r="H1195" s="27"/>
      <c r="I1195" s="27"/>
      <c r="J1195" s="27"/>
      <c r="K1195" s="27"/>
      <c r="L1195" s="27"/>
      <c r="M1195" s="27"/>
    </row>
    <row r="1196" spans="2:13" ht="15">
      <c r="B1196" s="8"/>
      <c r="C1196" s="27"/>
      <c r="D1196" s="27"/>
      <c r="E1196" s="27"/>
      <c r="F1196" s="27"/>
      <c r="G1196" s="27"/>
      <c r="H1196" s="27"/>
      <c r="I1196" s="27"/>
      <c r="J1196" s="27"/>
      <c r="K1196" s="27"/>
      <c r="L1196" s="27"/>
      <c r="M1196" s="27"/>
    </row>
    <row r="1197" spans="2:13" ht="15">
      <c r="B1197" s="8"/>
      <c r="C1197" s="27"/>
      <c r="D1197" s="27"/>
      <c r="E1197" s="27"/>
      <c r="F1197" s="27"/>
      <c r="G1197" s="27"/>
      <c r="H1197" s="27"/>
      <c r="I1197" s="27"/>
      <c r="J1197" s="27"/>
      <c r="K1197" s="27"/>
      <c r="L1197" s="27"/>
      <c r="M1197" s="27"/>
    </row>
    <row r="1198" spans="2:13" ht="15">
      <c r="B1198" s="8"/>
      <c r="C1198" s="27"/>
      <c r="D1198" s="27"/>
      <c r="E1198" s="27"/>
      <c r="F1198" s="27"/>
      <c r="G1198" s="27"/>
      <c r="H1198" s="27"/>
      <c r="I1198" s="27"/>
      <c r="J1198" s="27"/>
      <c r="K1198" s="27"/>
      <c r="L1198" s="27"/>
      <c r="M1198" s="27"/>
    </row>
    <row r="1199" spans="2:13" ht="15">
      <c r="B1199" s="8"/>
      <c r="C1199" s="27"/>
      <c r="D1199" s="27"/>
      <c r="E1199" s="27"/>
      <c r="F1199" s="27"/>
      <c r="G1199" s="27"/>
      <c r="H1199" s="27"/>
      <c r="I1199" s="27"/>
      <c r="J1199" s="27"/>
      <c r="K1199" s="27"/>
      <c r="L1199" s="27"/>
      <c r="M1199" s="27"/>
    </row>
    <row r="1200" spans="2:13" ht="15">
      <c r="B1200" s="8"/>
      <c r="C1200" s="27"/>
      <c r="D1200" s="27"/>
      <c r="E1200" s="27"/>
      <c r="F1200" s="27"/>
      <c r="G1200" s="27"/>
      <c r="H1200" s="27"/>
      <c r="I1200" s="27"/>
      <c r="J1200" s="27"/>
      <c r="K1200" s="27"/>
      <c r="L1200" s="27"/>
      <c r="M1200" s="27"/>
    </row>
    <row r="1201" spans="2:13" ht="15">
      <c r="B1201" s="8"/>
      <c r="C1201" s="27"/>
      <c r="D1201" s="27"/>
      <c r="E1201" s="27"/>
      <c r="F1201" s="27"/>
      <c r="G1201" s="27"/>
      <c r="H1201" s="27"/>
      <c r="I1201" s="27"/>
      <c r="J1201" s="27"/>
      <c r="K1201" s="27"/>
      <c r="L1201" s="27"/>
      <c r="M1201" s="27"/>
    </row>
    <row r="1202" spans="2:13" ht="15">
      <c r="B1202" s="8"/>
      <c r="C1202" s="27"/>
      <c r="D1202" s="27"/>
      <c r="E1202" s="27"/>
      <c r="F1202" s="27"/>
      <c r="G1202" s="27"/>
      <c r="H1202" s="27"/>
      <c r="I1202" s="27"/>
      <c r="J1202" s="27"/>
      <c r="K1202" s="27"/>
      <c r="L1202" s="27"/>
      <c r="M1202" s="27"/>
    </row>
    <row r="1203" spans="2:13" ht="15">
      <c r="B1203" s="8"/>
      <c r="C1203" s="27"/>
      <c r="D1203" s="27"/>
      <c r="E1203" s="27"/>
      <c r="F1203" s="27"/>
      <c r="G1203" s="27"/>
      <c r="H1203" s="27"/>
      <c r="I1203" s="27"/>
      <c r="J1203" s="27"/>
      <c r="K1203" s="27"/>
      <c r="L1203" s="27"/>
      <c r="M1203" s="27"/>
    </row>
    <row r="1204" spans="2:13" ht="15">
      <c r="B1204" s="8"/>
      <c r="C1204" s="27"/>
      <c r="D1204" s="27"/>
      <c r="E1204" s="27"/>
      <c r="F1204" s="27"/>
      <c r="G1204" s="27"/>
      <c r="H1204" s="27"/>
      <c r="I1204" s="27"/>
      <c r="J1204" s="27"/>
      <c r="K1204" s="27"/>
      <c r="L1204" s="27"/>
      <c r="M1204" s="27"/>
    </row>
    <row r="1205" spans="2:13" ht="15">
      <c r="B1205" s="8"/>
      <c r="C1205" s="27"/>
      <c r="D1205" s="27"/>
      <c r="E1205" s="27"/>
      <c r="F1205" s="27"/>
      <c r="G1205" s="27"/>
      <c r="H1205" s="27"/>
      <c r="I1205" s="27"/>
      <c r="J1205" s="27"/>
      <c r="K1205" s="27"/>
      <c r="L1205" s="27"/>
      <c r="M1205" s="27"/>
    </row>
    <row r="1206" spans="2:13" ht="15">
      <c r="B1206" s="8"/>
      <c r="C1206" s="27"/>
      <c r="D1206" s="27"/>
      <c r="E1206" s="27"/>
      <c r="F1206" s="27"/>
      <c r="G1206" s="27"/>
      <c r="H1206" s="27"/>
      <c r="I1206" s="27"/>
      <c r="J1206" s="27"/>
      <c r="K1206" s="27"/>
      <c r="L1206" s="27"/>
      <c r="M1206" s="27"/>
    </row>
    <row r="1207" spans="2:13" ht="15">
      <c r="B1207" s="8"/>
      <c r="C1207" s="27"/>
      <c r="D1207" s="27"/>
      <c r="E1207" s="27"/>
      <c r="F1207" s="27"/>
      <c r="G1207" s="27"/>
      <c r="H1207" s="27"/>
      <c r="I1207" s="27"/>
      <c r="J1207" s="27"/>
      <c r="K1207" s="27"/>
      <c r="L1207" s="27"/>
      <c r="M1207" s="27"/>
    </row>
    <row r="1208" spans="2:13" ht="15">
      <c r="B1208" s="8"/>
      <c r="C1208" s="27"/>
      <c r="D1208" s="27"/>
      <c r="E1208" s="27"/>
      <c r="F1208" s="27"/>
      <c r="G1208" s="27"/>
      <c r="H1208" s="27"/>
      <c r="I1208" s="27"/>
      <c r="J1208" s="27"/>
      <c r="K1208" s="27"/>
      <c r="L1208" s="27"/>
      <c r="M1208" s="27"/>
    </row>
    <row r="1209" spans="2:13" ht="15">
      <c r="B1209" s="8"/>
      <c r="C1209" s="27"/>
      <c r="D1209" s="27"/>
      <c r="E1209" s="27"/>
      <c r="F1209" s="27"/>
      <c r="G1209" s="27"/>
      <c r="H1209" s="27"/>
      <c r="I1209" s="27"/>
      <c r="J1209" s="27"/>
      <c r="K1209" s="27"/>
      <c r="L1209" s="27"/>
      <c r="M1209" s="27"/>
    </row>
    <row r="1210" spans="2:13" ht="15">
      <c r="B1210" s="8"/>
      <c r="C1210" s="27"/>
      <c r="D1210" s="27"/>
      <c r="E1210" s="27"/>
      <c r="F1210" s="27"/>
      <c r="G1210" s="27"/>
      <c r="H1210" s="27"/>
      <c r="I1210" s="27"/>
      <c r="J1210" s="27"/>
      <c r="K1210" s="27"/>
      <c r="L1210" s="27"/>
      <c r="M1210" s="27"/>
    </row>
    <row r="1211" spans="2:13" ht="15">
      <c r="B1211" s="8"/>
      <c r="C1211" s="27"/>
      <c r="D1211" s="27"/>
      <c r="E1211" s="27"/>
      <c r="F1211" s="27"/>
      <c r="G1211" s="27"/>
      <c r="H1211" s="27"/>
      <c r="I1211" s="27"/>
      <c r="J1211" s="27"/>
      <c r="K1211" s="27"/>
      <c r="L1211" s="27"/>
      <c r="M1211" s="27"/>
    </row>
    <row r="1212" spans="2:13" ht="15">
      <c r="B1212" s="8"/>
      <c r="C1212" s="27"/>
      <c r="D1212" s="27"/>
      <c r="E1212" s="27"/>
      <c r="F1212" s="27"/>
      <c r="G1212" s="27"/>
      <c r="H1212" s="27"/>
      <c r="I1212" s="27"/>
      <c r="J1212" s="27"/>
      <c r="K1212" s="27"/>
      <c r="L1212" s="27"/>
      <c r="M1212" s="27"/>
    </row>
    <row r="1213" spans="2:13" ht="15">
      <c r="B1213" s="8"/>
      <c r="C1213" s="27"/>
      <c r="D1213" s="27"/>
      <c r="E1213" s="27"/>
      <c r="F1213" s="27"/>
      <c r="G1213" s="27"/>
      <c r="H1213" s="27"/>
      <c r="I1213" s="27"/>
      <c r="J1213" s="27"/>
      <c r="K1213" s="27"/>
      <c r="L1213" s="27"/>
      <c r="M1213" s="27"/>
    </row>
    <row r="1214" spans="2:13" ht="15">
      <c r="B1214" s="8"/>
      <c r="C1214" s="27"/>
      <c r="D1214" s="27"/>
      <c r="E1214" s="27"/>
      <c r="F1214" s="27"/>
      <c r="G1214" s="27"/>
      <c r="H1214" s="27"/>
      <c r="I1214" s="27"/>
      <c r="J1214" s="27"/>
      <c r="K1214" s="27"/>
      <c r="L1214" s="27"/>
      <c r="M1214" s="27"/>
    </row>
    <row r="1215" spans="2:13" ht="15">
      <c r="B1215" s="8"/>
      <c r="C1215" s="27"/>
      <c r="D1215" s="27"/>
      <c r="E1215" s="27"/>
      <c r="F1215" s="27"/>
      <c r="G1215" s="27"/>
      <c r="H1215" s="27"/>
      <c r="I1215" s="27"/>
      <c r="J1215" s="27"/>
      <c r="K1215" s="27"/>
      <c r="L1215" s="27"/>
      <c r="M1215" s="27"/>
    </row>
    <row r="1216" spans="2:13" ht="15">
      <c r="B1216" s="8"/>
      <c r="C1216" s="27"/>
      <c r="D1216" s="27"/>
      <c r="E1216" s="27"/>
      <c r="F1216" s="27"/>
      <c r="G1216" s="27"/>
      <c r="H1216" s="27"/>
      <c r="I1216" s="27"/>
      <c r="J1216" s="27"/>
      <c r="K1216" s="27"/>
      <c r="L1216" s="27"/>
      <c r="M1216" s="27"/>
    </row>
    <row r="1217" spans="2:13" ht="15">
      <c r="B1217" s="8"/>
      <c r="C1217" s="27"/>
      <c r="D1217" s="27"/>
      <c r="E1217" s="27"/>
      <c r="F1217" s="27"/>
      <c r="G1217" s="27"/>
      <c r="H1217" s="27"/>
      <c r="I1217" s="27"/>
      <c r="J1217" s="27"/>
      <c r="K1217" s="27"/>
      <c r="L1217" s="27"/>
      <c r="M1217" s="27"/>
    </row>
    <row r="1218" spans="2:13" ht="15">
      <c r="B1218" s="8"/>
      <c r="C1218" s="27"/>
      <c r="D1218" s="27"/>
      <c r="E1218" s="27"/>
      <c r="F1218" s="27"/>
      <c r="G1218" s="27"/>
      <c r="H1218" s="27"/>
      <c r="I1218" s="27"/>
      <c r="J1218" s="27"/>
      <c r="K1218" s="27"/>
      <c r="L1218" s="27"/>
      <c r="M1218" s="27"/>
    </row>
    <row r="1219" spans="2:13" ht="15">
      <c r="B1219" s="8"/>
      <c r="C1219" s="27"/>
      <c r="D1219" s="27"/>
      <c r="E1219" s="27"/>
      <c r="F1219" s="27"/>
      <c r="G1219" s="27"/>
      <c r="H1219" s="27"/>
      <c r="I1219" s="27"/>
      <c r="J1219" s="27"/>
      <c r="K1219" s="27"/>
      <c r="L1219" s="27"/>
      <c r="M1219" s="27"/>
    </row>
    <row r="1220" spans="2:13" ht="15">
      <c r="B1220" s="8"/>
      <c r="C1220" s="27"/>
      <c r="D1220" s="27"/>
      <c r="E1220" s="27"/>
      <c r="F1220" s="27"/>
      <c r="G1220" s="27"/>
      <c r="H1220" s="27"/>
      <c r="I1220" s="27"/>
      <c r="J1220" s="27"/>
      <c r="K1220" s="27"/>
      <c r="L1220" s="27"/>
      <c r="M1220" s="27"/>
    </row>
    <row r="1221" spans="2:13" ht="15">
      <c r="B1221" s="8"/>
      <c r="C1221" s="27"/>
      <c r="D1221" s="27"/>
      <c r="E1221" s="27"/>
      <c r="F1221" s="27"/>
      <c r="G1221" s="27"/>
      <c r="H1221" s="27"/>
      <c r="I1221" s="27"/>
      <c r="J1221" s="27"/>
      <c r="K1221" s="27"/>
      <c r="L1221" s="27"/>
      <c r="M1221" s="27"/>
    </row>
    <row r="1222" spans="2:13" ht="15">
      <c r="B1222" s="8"/>
      <c r="C1222" s="27"/>
      <c r="D1222" s="27"/>
      <c r="E1222" s="27"/>
      <c r="F1222" s="27"/>
      <c r="G1222" s="27"/>
      <c r="H1222" s="27"/>
      <c r="I1222" s="27"/>
      <c r="J1222" s="27"/>
      <c r="K1222" s="27"/>
      <c r="L1222" s="27"/>
      <c r="M1222" s="27"/>
    </row>
    <row r="1223" spans="2:13" ht="15">
      <c r="B1223" s="8"/>
      <c r="C1223" s="27"/>
      <c r="D1223" s="27"/>
      <c r="E1223" s="27"/>
      <c r="F1223" s="27"/>
      <c r="G1223" s="27"/>
      <c r="H1223" s="27"/>
      <c r="I1223" s="27"/>
      <c r="J1223" s="27"/>
      <c r="K1223" s="27"/>
      <c r="L1223" s="27"/>
      <c r="M1223" s="27"/>
    </row>
    <row r="1224" spans="2:13" ht="15">
      <c r="B1224" s="8"/>
      <c r="C1224" s="27"/>
      <c r="D1224" s="27"/>
      <c r="E1224" s="27"/>
      <c r="F1224" s="27"/>
      <c r="G1224" s="27"/>
      <c r="H1224" s="27"/>
      <c r="I1224" s="27"/>
      <c r="J1224" s="27"/>
      <c r="K1224" s="27"/>
      <c r="L1224" s="27"/>
      <c r="M1224" s="27"/>
    </row>
    <row r="1225" spans="2:13" ht="15">
      <c r="B1225" s="8"/>
      <c r="C1225" s="27"/>
      <c r="D1225" s="27"/>
      <c r="E1225" s="27"/>
      <c r="F1225" s="27"/>
      <c r="G1225" s="27"/>
      <c r="H1225" s="27"/>
      <c r="I1225" s="27"/>
      <c r="J1225" s="27"/>
      <c r="K1225" s="27"/>
      <c r="L1225" s="27"/>
      <c r="M1225" s="27"/>
    </row>
    <row r="1226" spans="2:13" ht="15">
      <c r="B1226" s="8"/>
      <c r="C1226" s="27"/>
      <c r="D1226" s="27"/>
      <c r="E1226" s="27"/>
      <c r="F1226" s="27"/>
      <c r="G1226" s="27"/>
      <c r="H1226" s="27"/>
      <c r="I1226" s="27"/>
      <c r="J1226" s="27"/>
      <c r="K1226" s="27"/>
      <c r="L1226" s="27"/>
      <c r="M1226" s="27"/>
    </row>
    <row r="1227" spans="2:13" ht="15">
      <c r="B1227" s="8"/>
      <c r="C1227" s="27"/>
      <c r="D1227" s="27"/>
      <c r="E1227" s="27"/>
      <c r="F1227" s="27"/>
      <c r="G1227" s="27"/>
      <c r="H1227" s="27"/>
      <c r="I1227" s="27"/>
      <c r="J1227" s="27"/>
      <c r="K1227" s="27"/>
      <c r="L1227" s="27"/>
      <c r="M1227" s="27"/>
    </row>
    <row r="1228" spans="2:13" ht="15">
      <c r="B1228" s="8"/>
      <c r="C1228" s="27"/>
      <c r="D1228" s="27"/>
      <c r="E1228" s="27"/>
      <c r="F1228" s="27"/>
      <c r="G1228" s="27"/>
      <c r="H1228" s="27"/>
      <c r="I1228" s="27"/>
      <c r="J1228" s="27"/>
      <c r="K1228" s="27"/>
      <c r="L1228" s="27"/>
      <c r="M1228" s="27"/>
    </row>
    <row r="1229" spans="2:13" ht="15">
      <c r="B1229" s="8"/>
      <c r="C1229" s="27"/>
      <c r="D1229" s="27"/>
      <c r="E1229" s="27"/>
      <c r="F1229" s="27"/>
      <c r="G1229" s="27"/>
      <c r="H1229" s="27"/>
      <c r="I1229" s="27"/>
      <c r="J1229" s="27"/>
      <c r="K1229" s="27"/>
      <c r="L1229" s="27"/>
      <c r="M1229" s="27"/>
    </row>
    <row r="1230" spans="2:13" ht="15">
      <c r="B1230" s="8"/>
      <c r="C1230" s="27"/>
      <c r="D1230" s="27"/>
      <c r="E1230" s="27"/>
      <c r="F1230" s="27"/>
      <c r="G1230" s="27"/>
      <c r="H1230" s="27"/>
      <c r="I1230" s="27"/>
      <c r="J1230" s="27"/>
      <c r="K1230" s="27"/>
      <c r="L1230" s="27"/>
      <c r="M1230" s="27"/>
    </row>
    <row r="1231" spans="2:13" ht="15">
      <c r="B1231" s="8"/>
      <c r="C1231" s="27"/>
      <c r="D1231" s="27"/>
      <c r="E1231" s="27"/>
      <c r="F1231" s="27"/>
      <c r="G1231" s="27"/>
      <c r="H1231" s="27"/>
      <c r="I1231" s="27"/>
      <c r="J1231" s="27"/>
      <c r="K1231" s="27"/>
      <c r="L1231" s="27"/>
      <c r="M1231" s="27"/>
    </row>
    <row r="1232" spans="2:13" ht="15">
      <c r="B1232" s="8"/>
      <c r="C1232" s="27"/>
      <c r="D1232" s="27"/>
      <c r="E1232" s="27"/>
      <c r="F1232" s="27"/>
      <c r="G1232" s="27"/>
      <c r="H1232" s="27"/>
      <c r="I1232" s="27"/>
      <c r="J1232" s="27"/>
      <c r="K1232" s="27"/>
      <c r="L1232" s="27"/>
      <c r="M1232" s="27"/>
    </row>
    <row r="1233" spans="2:13" ht="15">
      <c r="B1233" s="8"/>
      <c r="C1233" s="27"/>
      <c r="D1233" s="27"/>
      <c r="E1233" s="27"/>
      <c r="F1233" s="27"/>
      <c r="G1233" s="27"/>
      <c r="H1233" s="27"/>
      <c r="I1233" s="27"/>
      <c r="J1233" s="27"/>
      <c r="K1233" s="27"/>
      <c r="L1233" s="27"/>
      <c r="M1233" s="27"/>
    </row>
    <row r="1234" spans="2:13" ht="15">
      <c r="B1234" s="8"/>
      <c r="C1234" s="27"/>
      <c r="D1234" s="27"/>
      <c r="E1234" s="27"/>
      <c r="F1234" s="27"/>
      <c r="G1234" s="27"/>
      <c r="H1234" s="27"/>
      <c r="I1234" s="27"/>
      <c r="J1234" s="27"/>
      <c r="K1234" s="27"/>
      <c r="L1234" s="27"/>
      <c r="M1234" s="27"/>
    </row>
    <row r="1235" spans="2:13" ht="15">
      <c r="B1235" s="8"/>
      <c r="C1235" s="27"/>
      <c r="D1235" s="27"/>
      <c r="E1235" s="27"/>
      <c r="F1235" s="27"/>
      <c r="G1235" s="27"/>
      <c r="H1235" s="27"/>
      <c r="I1235" s="27"/>
      <c r="J1235" s="27"/>
      <c r="K1235" s="27"/>
      <c r="L1235" s="27"/>
      <c r="M1235" s="27"/>
    </row>
    <row r="1236" spans="2:13" ht="15">
      <c r="B1236" s="8"/>
      <c r="C1236" s="27"/>
      <c r="D1236" s="27"/>
      <c r="E1236" s="27"/>
      <c r="F1236" s="27"/>
      <c r="G1236" s="27"/>
      <c r="H1236" s="27"/>
      <c r="I1236" s="27"/>
      <c r="J1236" s="27"/>
      <c r="K1236" s="27"/>
      <c r="L1236" s="27"/>
      <c r="M1236" s="27"/>
    </row>
    <row r="1237" spans="2:13" ht="15">
      <c r="B1237" s="8"/>
      <c r="C1237" s="27"/>
      <c r="D1237" s="27"/>
      <c r="E1237" s="27"/>
      <c r="F1237" s="27"/>
      <c r="G1237" s="27"/>
      <c r="H1237" s="27"/>
      <c r="I1237" s="27"/>
      <c r="J1237" s="27"/>
      <c r="K1237" s="27"/>
      <c r="L1237" s="27"/>
      <c r="M1237" s="27"/>
    </row>
    <row r="1238" spans="2:13" ht="15">
      <c r="B1238" s="8"/>
      <c r="C1238" s="27"/>
      <c r="D1238" s="27"/>
      <c r="E1238" s="27"/>
      <c r="F1238" s="27"/>
      <c r="G1238" s="27"/>
      <c r="H1238" s="27"/>
      <c r="I1238" s="27"/>
      <c r="J1238" s="27"/>
      <c r="K1238" s="27"/>
      <c r="L1238" s="27"/>
      <c r="M1238" s="27"/>
    </row>
    <row r="1239" spans="2:13" ht="15">
      <c r="B1239" s="8"/>
      <c r="C1239" s="27"/>
      <c r="D1239" s="27"/>
      <c r="E1239" s="27"/>
      <c r="F1239" s="27"/>
      <c r="G1239" s="27"/>
      <c r="H1239" s="27"/>
      <c r="I1239" s="27"/>
      <c r="J1239" s="27"/>
      <c r="K1239" s="27"/>
      <c r="L1239" s="27"/>
      <c r="M1239" s="27"/>
    </row>
    <row r="1240" spans="2:13" ht="15">
      <c r="B1240" s="8"/>
      <c r="C1240" s="27"/>
      <c r="D1240" s="27"/>
      <c r="E1240" s="27"/>
      <c r="F1240" s="27"/>
      <c r="G1240" s="27"/>
      <c r="H1240" s="27"/>
      <c r="I1240" s="27"/>
      <c r="J1240" s="27"/>
      <c r="K1240" s="27"/>
      <c r="L1240" s="27"/>
      <c r="M1240" s="27"/>
    </row>
    <row r="1241" spans="2:13" ht="15">
      <c r="B1241" s="8"/>
      <c r="C1241" s="27"/>
      <c r="D1241" s="27"/>
      <c r="E1241" s="27"/>
      <c r="F1241" s="27"/>
      <c r="G1241" s="27"/>
      <c r="H1241" s="27"/>
      <c r="I1241" s="27"/>
      <c r="J1241" s="27"/>
      <c r="K1241" s="27"/>
      <c r="L1241" s="27"/>
      <c r="M1241" s="27"/>
    </row>
    <row r="1242" spans="2:13" ht="15">
      <c r="B1242" s="8"/>
      <c r="C1242" s="27"/>
      <c r="D1242" s="27"/>
      <c r="E1242" s="27"/>
      <c r="F1242" s="27"/>
      <c r="G1242" s="27"/>
      <c r="H1242" s="27"/>
      <c r="I1242" s="27"/>
      <c r="J1242" s="27"/>
      <c r="K1242" s="27"/>
      <c r="L1242" s="27"/>
      <c r="M1242" s="27"/>
    </row>
    <row r="1243" spans="2:13" ht="15">
      <c r="B1243" s="8"/>
      <c r="C1243" s="27"/>
      <c r="D1243" s="27"/>
      <c r="E1243" s="27"/>
      <c r="F1243" s="27"/>
      <c r="G1243" s="27"/>
      <c r="H1243" s="27"/>
      <c r="I1243" s="27"/>
      <c r="J1243" s="27"/>
      <c r="K1243" s="27"/>
      <c r="L1243" s="27"/>
      <c r="M1243" s="27"/>
    </row>
    <row r="1244" spans="2:13" ht="15">
      <c r="B1244" s="8"/>
      <c r="C1244" s="27"/>
      <c r="D1244" s="27"/>
      <c r="E1244" s="27"/>
      <c r="F1244" s="27"/>
      <c r="G1244" s="27"/>
      <c r="H1244" s="27"/>
      <c r="I1244" s="27"/>
      <c r="J1244" s="27"/>
      <c r="K1244" s="27"/>
      <c r="L1244" s="27"/>
      <c r="M1244" s="27"/>
    </row>
    <row r="1245" spans="2:13" ht="15">
      <c r="B1245" s="8"/>
      <c r="C1245" s="27"/>
      <c r="D1245" s="27"/>
      <c r="E1245" s="27"/>
      <c r="F1245" s="27"/>
      <c r="G1245" s="27"/>
      <c r="H1245" s="27"/>
      <c r="I1245" s="27"/>
      <c r="J1245" s="27"/>
      <c r="K1245" s="27"/>
      <c r="L1245" s="27"/>
      <c r="M1245" s="27"/>
    </row>
    <row r="1246" spans="2:13" ht="15">
      <c r="B1246" s="8"/>
      <c r="C1246" s="27"/>
      <c r="D1246" s="27"/>
      <c r="E1246" s="27"/>
      <c r="F1246" s="27"/>
      <c r="G1246" s="27"/>
      <c r="H1246" s="27"/>
      <c r="I1246" s="27"/>
      <c r="J1246" s="27"/>
      <c r="K1246" s="27"/>
      <c r="L1246" s="27"/>
      <c r="M1246" s="27"/>
    </row>
    <row r="1247" spans="2:13" ht="15">
      <c r="B1247" s="8"/>
      <c r="C1247" s="27"/>
      <c r="D1247" s="27"/>
      <c r="E1247" s="27"/>
      <c r="F1247" s="27"/>
      <c r="G1247" s="27"/>
      <c r="H1247" s="27"/>
      <c r="I1247" s="27"/>
      <c r="J1247" s="27"/>
      <c r="K1247" s="27"/>
      <c r="L1247" s="27"/>
      <c r="M1247" s="27"/>
    </row>
    <row r="1248" spans="2:13" ht="15">
      <c r="B1248" s="8"/>
      <c r="C1248" s="27"/>
      <c r="D1248" s="27"/>
      <c r="E1248" s="27"/>
      <c r="F1248" s="27"/>
      <c r="G1248" s="27"/>
      <c r="H1248" s="27"/>
      <c r="I1248" s="27"/>
      <c r="J1248" s="27"/>
      <c r="K1248" s="27"/>
      <c r="L1248" s="27"/>
      <c r="M1248" s="27"/>
    </row>
    <row r="1249" spans="2:13" ht="15">
      <c r="B1249" s="8"/>
      <c r="C1249" s="27"/>
      <c r="D1249" s="27"/>
      <c r="E1249" s="27"/>
      <c r="F1249" s="27"/>
      <c r="G1249" s="27"/>
      <c r="H1249" s="27"/>
      <c r="I1249" s="27"/>
      <c r="J1249" s="27"/>
      <c r="K1249" s="27"/>
      <c r="L1249" s="27"/>
      <c r="M1249" s="27"/>
    </row>
    <row r="1250" spans="2:13" ht="15">
      <c r="B1250" s="8"/>
      <c r="C1250" s="27"/>
      <c r="D1250" s="27"/>
      <c r="E1250" s="27"/>
      <c r="F1250" s="27"/>
      <c r="G1250" s="27"/>
      <c r="H1250" s="27"/>
      <c r="I1250" s="27"/>
      <c r="J1250" s="27"/>
      <c r="K1250" s="27"/>
      <c r="L1250" s="27"/>
      <c r="M1250" s="27"/>
    </row>
    <row r="1251" spans="2:13" ht="15">
      <c r="B1251" s="8"/>
      <c r="C1251" s="27"/>
      <c r="D1251" s="27"/>
      <c r="E1251" s="27"/>
      <c r="F1251" s="27"/>
      <c r="G1251" s="27"/>
      <c r="H1251" s="27"/>
      <c r="I1251" s="27"/>
      <c r="J1251" s="27"/>
      <c r="K1251" s="27"/>
      <c r="L1251" s="27"/>
      <c r="M1251" s="27"/>
    </row>
    <row r="1252" spans="2:13" ht="15">
      <c r="B1252" s="8"/>
      <c r="C1252" s="27"/>
      <c r="D1252" s="27"/>
      <c r="E1252" s="27"/>
      <c r="F1252" s="27"/>
      <c r="G1252" s="27"/>
      <c r="H1252" s="27"/>
      <c r="I1252" s="27"/>
      <c r="J1252" s="27"/>
      <c r="K1252" s="27"/>
      <c r="L1252" s="27"/>
      <c r="M1252" s="27"/>
    </row>
    <row r="1253" spans="2:13" ht="15">
      <c r="B1253" s="8"/>
      <c r="C1253" s="27"/>
      <c r="D1253" s="27"/>
      <c r="E1253" s="27"/>
      <c r="F1253" s="27"/>
      <c r="G1253" s="27"/>
      <c r="H1253" s="27"/>
      <c r="I1253" s="27"/>
      <c r="J1253" s="27"/>
      <c r="K1253" s="27"/>
      <c r="L1253" s="27"/>
      <c r="M1253" s="27"/>
    </row>
    <row r="1254" spans="2:13" ht="15">
      <c r="B1254" s="8"/>
      <c r="C1254" s="27"/>
      <c r="D1254" s="27"/>
      <c r="E1254" s="27"/>
      <c r="F1254" s="27"/>
      <c r="G1254" s="27"/>
      <c r="H1254" s="27"/>
      <c r="I1254" s="27"/>
      <c r="J1254" s="27"/>
      <c r="K1254" s="27"/>
      <c r="L1254" s="27"/>
      <c r="M1254" s="27"/>
    </row>
    <row r="1255" spans="2:13" ht="15">
      <c r="B1255" s="8"/>
      <c r="C1255" s="27"/>
      <c r="D1255" s="27"/>
      <c r="E1255" s="27"/>
      <c r="F1255" s="27"/>
      <c r="G1255" s="27"/>
      <c r="H1255" s="27"/>
      <c r="I1255" s="27"/>
      <c r="J1255" s="27"/>
      <c r="K1255" s="27"/>
      <c r="L1255" s="27"/>
      <c r="M1255" s="27"/>
    </row>
    <row r="1256" spans="2:13" ht="15">
      <c r="B1256" s="8"/>
      <c r="C1256" s="27"/>
      <c r="D1256" s="27"/>
      <c r="E1256" s="27"/>
      <c r="F1256" s="27"/>
      <c r="G1256" s="27"/>
      <c r="H1256" s="27"/>
      <c r="I1256" s="27"/>
      <c r="J1256" s="27"/>
      <c r="K1256" s="27"/>
      <c r="L1256" s="27"/>
      <c r="M1256" s="27"/>
    </row>
    <row r="1257" spans="2:13" ht="15">
      <c r="B1257" s="8"/>
      <c r="C1257" s="27"/>
      <c r="D1257" s="27"/>
      <c r="E1257" s="27"/>
      <c r="F1257" s="27"/>
      <c r="G1257" s="27"/>
      <c r="H1257" s="27"/>
      <c r="I1257" s="27"/>
      <c r="J1257" s="27"/>
      <c r="K1257" s="27"/>
      <c r="L1257" s="27"/>
      <c r="M1257" s="27"/>
    </row>
    <row r="1258" spans="2:13" ht="15">
      <c r="B1258" s="8"/>
      <c r="C1258" s="27"/>
      <c r="D1258" s="27"/>
      <c r="E1258" s="27"/>
      <c r="F1258" s="27"/>
      <c r="G1258" s="27"/>
      <c r="H1258" s="27"/>
      <c r="I1258" s="27"/>
      <c r="J1258" s="27"/>
      <c r="K1258" s="27"/>
      <c r="L1258" s="27"/>
      <c r="M1258" s="27"/>
    </row>
    <row r="1259" spans="2:13" ht="15">
      <c r="B1259" s="8"/>
      <c r="C1259" s="27"/>
      <c r="D1259" s="27"/>
      <c r="E1259" s="27"/>
      <c r="F1259" s="27"/>
      <c r="G1259" s="27"/>
      <c r="H1259" s="27"/>
      <c r="I1259" s="27"/>
      <c r="J1259" s="27"/>
      <c r="K1259" s="27"/>
      <c r="L1259" s="27"/>
      <c r="M1259" s="27"/>
    </row>
    <row r="1260" spans="2:13" ht="15">
      <c r="B1260" s="8"/>
      <c r="C1260" s="27"/>
      <c r="D1260" s="27"/>
      <c r="E1260" s="27"/>
      <c r="F1260" s="27"/>
      <c r="G1260" s="27"/>
      <c r="H1260" s="27"/>
      <c r="I1260" s="27"/>
      <c r="J1260" s="27"/>
      <c r="K1260" s="27"/>
      <c r="L1260" s="27"/>
      <c r="M1260" s="27"/>
    </row>
    <row r="1261" spans="9:10" ht="15">
      <c r="I1261" s="27"/>
      <c r="J1261" s="27"/>
    </row>
  </sheetData>
  <sheetProtection/>
  <mergeCells count="21">
    <mergeCell ref="D390:K390"/>
    <mergeCell ref="D383:J383"/>
    <mergeCell ref="D333:K335"/>
    <mergeCell ref="D342:J344"/>
    <mergeCell ref="D353:L355"/>
    <mergeCell ref="D393:J394"/>
    <mergeCell ref="D388:K388"/>
    <mergeCell ref="G273:H273"/>
    <mergeCell ref="G256:H256"/>
    <mergeCell ref="D305:K306"/>
    <mergeCell ref="D336:J337"/>
    <mergeCell ref="D376:J382"/>
    <mergeCell ref="D384:J384"/>
    <mergeCell ref="D329:K331"/>
    <mergeCell ref="D346:K346"/>
    <mergeCell ref="B19:I20"/>
    <mergeCell ref="I55:J55"/>
    <mergeCell ref="I58:J58"/>
    <mergeCell ref="I139:J139"/>
    <mergeCell ref="I142:J142"/>
    <mergeCell ref="D37:L37"/>
  </mergeCells>
  <printOptions/>
  <pageMargins left="0.26" right="1.28" top="1" bottom="1" header="0.86" footer="0.5"/>
  <pageSetup horizontalDpi="600" verticalDpi="600" orientation="portrait" scale="35" r:id="rId1"/>
  <headerFooter alignWithMargins="0">
    <oddHeader>&amp;R&amp;"Arial,Bold"Formula Rate 
&amp;A
Page &amp;P of &amp;N</oddHeader>
  </headerFooter>
  <rowBreaks count="4" manualBreakCount="4">
    <brk id="46" max="11" man="1"/>
    <brk id="131" max="11" man="1"/>
    <brk id="217" max="11" man="1"/>
    <brk id="279" max="11" man="1"/>
  </rowBreaks>
</worksheet>
</file>

<file path=xl/worksheets/sheet20.xml><?xml version="1.0" encoding="utf-8"?>
<worksheet xmlns="http://schemas.openxmlformats.org/spreadsheetml/2006/main" xmlns:r="http://schemas.openxmlformats.org/officeDocument/2006/relationships">
  <sheetPr>
    <tabColor rgb="FFCCFFFF"/>
    <pageSetUpPr fitToPage="1"/>
  </sheetPr>
  <dimension ref="A1:L237"/>
  <sheetViews>
    <sheetView view="pageBreakPreview" zoomScale="75" zoomScaleNormal="75" zoomScaleSheetLayoutView="75" zoomScalePageLayoutView="0" workbookViewId="0" topLeftCell="A1">
      <selection activeCell="C4" sqref="C4"/>
    </sheetView>
  </sheetViews>
  <sheetFormatPr defaultColWidth="9.140625" defaultRowHeight="12.75"/>
  <cols>
    <col min="1" max="1" width="4.57421875" style="1094" customWidth="1"/>
    <col min="2" max="2" width="63.140625" style="1094" bestFit="1" customWidth="1"/>
    <col min="3" max="3" width="18.140625" style="1094" customWidth="1"/>
    <col min="4" max="4" width="2.140625" style="1094" customWidth="1"/>
    <col min="5" max="5" width="17.28125" style="1094" customWidth="1"/>
    <col min="6" max="6" width="16.28125" style="1094" customWidth="1"/>
    <col min="7" max="7" width="14.57421875" style="1094" customWidth="1"/>
    <col min="8" max="8" width="17.57421875" style="1094" customWidth="1"/>
    <col min="9" max="9" width="14.421875" style="1094" customWidth="1"/>
    <col min="10" max="10" width="17.421875" style="1094" customWidth="1"/>
    <col min="11" max="16384" width="9.140625" style="1094" customWidth="1"/>
  </cols>
  <sheetData>
    <row r="1" spans="1:10" ht="12.75">
      <c r="A1" s="1320" t="s">
        <v>774</v>
      </c>
      <c r="B1" s="1320"/>
      <c r="C1" s="1320"/>
      <c r="D1" s="1320"/>
      <c r="E1" s="1320"/>
      <c r="F1" s="1320"/>
      <c r="G1" s="1320"/>
      <c r="H1" s="1320"/>
      <c r="I1" s="1320"/>
      <c r="J1" s="1320"/>
    </row>
    <row r="2" spans="1:10" ht="12.75">
      <c r="A2" s="1320" t="str">
        <f>"Consolidation of Operating Companies' Capital Structure @ December 31, "&amp;TCOS!L2&amp;""</f>
        <v>Consolidation of Operating Companies' Capital Structure @ December 31, 2017</v>
      </c>
      <c r="B2" s="1320"/>
      <c r="C2" s="1320"/>
      <c r="D2" s="1320"/>
      <c r="E2" s="1320"/>
      <c r="F2" s="1320"/>
      <c r="G2" s="1320"/>
      <c r="H2" s="1320"/>
      <c r="I2" s="1320"/>
      <c r="J2" s="1320"/>
    </row>
    <row r="3" spans="1:10" ht="15.75">
      <c r="A3" s="1318" t="s">
        <v>350</v>
      </c>
      <c r="B3" s="1318"/>
      <c r="C3" s="1318"/>
      <c r="D3" s="1318"/>
      <c r="E3" s="1318"/>
      <c r="F3" s="1318"/>
      <c r="G3" s="1318"/>
      <c r="H3" s="1318"/>
      <c r="I3" s="1318"/>
      <c r="J3" s="1318"/>
    </row>
    <row r="5" spans="1:10" ht="63.75">
      <c r="A5" s="1094" t="s">
        <v>690</v>
      </c>
      <c r="C5" s="1095" t="s">
        <v>775</v>
      </c>
      <c r="D5" s="1095"/>
      <c r="E5" s="1095" t="s">
        <v>776</v>
      </c>
      <c r="F5" s="1095" t="s">
        <v>777</v>
      </c>
      <c r="G5" s="1095" t="s">
        <v>778</v>
      </c>
      <c r="H5" s="1095" t="s">
        <v>779</v>
      </c>
      <c r="I5" s="1095" t="s">
        <v>780</v>
      </c>
      <c r="J5" s="1095" t="s">
        <v>781</v>
      </c>
    </row>
    <row r="6" ht="15">
      <c r="A6" s="1001" t="s">
        <v>782</v>
      </c>
    </row>
    <row r="7" spans="1:10" ht="12.75">
      <c r="A7" s="1094">
        <v>1</v>
      </c>
      <c r="B7" s="1014" t="s">
        <v>564</v>
      </c>
      <c r="C7" s="1049">
        <v>345097743</v>
      </c>
      <c r="D7" s="1049"/>
      <c r="E7" s="1049">
        <v>0</v>
      </c>
      <c r="F7" s="1049">
        <v>0</v>
      </c>
      <c r="G7" s="1049">
        <v>0</v>
      </c>
      <c r="H7" s="1049">
        <v>0</v>
      </c>
      <c r="I7" s="1049">
        <v>0</v>
      </c>
      <c r="J7" s="977">
        <f>SUM(C7:I7)</f>
        <v>345097743</v>
      </c>
    </row>
    <row r="8" spans="1:10" ht="12.75">
      <c r="A8" s="1094">
        <f>A7+1</f>
        <v>2</v>
      </c>
      <c r="B8" s="1014" t="s">
        <v>565</v>
      </c>
      <c r="C8" s="1049">
        <v>0</v>
      </c>
      <c r="D8" s="1049"/>
      <c r="E8" s="1049">
        <v>40000000</v>
      </c>
      <c r="F8" s="1049">
        <v>0</v>
      </c>
      <c r="G8" s="1049">
        <v>0</v>
      </c>
      <c r="H8" s="1049">
        <v>345400000</v>
      </c>
      <c r="I8" s="1049">
        <v>0</v>
      </c>
      <c r="J8" s="977">
        <f>SUM(C8:I8)</f>
        <v>385400000</v>
      </c>
    </row>
    <row r="9" spans="1:10" ht="12.75">
      <c r="A9" s="1094">
        <f>A8+1</f>
        <v>3</v>
      </c>
      <c r="B9" s="1015" t="s">
        <v>78</v>
      </c>
      <c r="C9" s="1049">
        <v>0</v>
      </c>
      <c r="D9" s="1049"/>
      <c r="E9" s="1049">
        <v>0</v>
      </c>
      <c r="F9" s="1049">
        <v>0</v>
      </c>
      <c r="G9" s="1049">
        <v>20000000</v>
      </c>
      <c r="H9" s="1049">
        <v>0</v>
      </c>
      <c r="I9" s="1049">
        <v>0</v>
      </c>
      <c r="J9" s="977">
        <f>SUM(C9:I9)</f>
        <v>20000000</v>
      </c>
    </row>
    <row r="10" spans="1:10" ht="12.75">
      <c r="A10" s="1094">
        <f>A9+1</f>
        <v>4</v>
      </c>
      <c r="B10" s="1015" t="s">
        <v>72</v>
      </c>
      <c r="C10" s="1049">
        <v>3620784367</v>
      </c>
      <c r="D10" s="1049"/>
      <c r="E10" s="1049">
        <f>1874854812-265573060</f>
        <v>1609281752</v>
      </c>
      <c r="F10" s="1049">
        <v>870000000</v>
      </c>
      <c r="G10" s="1049">
        <v>0</v>
      </c>
      <c r="H10" s="1049">
        <v>2328942762</v>
      </c>
      <c r="I10" s="1049">
        <v>350000000</v>
      </c>
      <c r="J10" s="977">
        <f>SUM(C10:I10)</f>
        <v>8779008881</v>
      </c>
    </row>
    <row r="11" spans="1:10" ht="12.75">
      <c r="A11" s="1094">
        <f>A10+1</f>
        <v>5</v>
      </c>
      <c r="B11" s="1015" t="str">
        <f>"Less: Fair Value Hedges (See Note on Ln "&amp;A14&amp;" below)"</f>
        <v>Less: Fair Value Hedges (See Note on Ln 7 below)</v>
      </c>
      <c r="C11" s="308">
        <v>0</v>
      </c>
      <c r="D11" s="308"/>
      <c r="E11" s="308">
        <v>0</v>
      </c>
      <c r="F11" s="308">
        <v>0</v>
      </c>
      <c r="G11" s="308">
        <v>0</v>
      </c>
      <c r="H11" s="308">
        <v>0</v>
      </c>
      <c r="I11" s="308">
        <v>0</v>
      </c>
      <c r="J11" s="1096">
        <f>SUM(C11:I11)</f>
        <v>0</v>
      </c>
    </row>
    <row r="12" spans="1:10" ht="12.75">
      <c r="A12" s="1094">
        <f>A11+1</f>
        <v>6</v>
      </c>
      <c r="B12" s="1017" t="s">
        <v>110</v>
      </c>
      <c r="C12" s="1097">
        <f aca="true" t="shared" si="0" ref="C12:J12">C7-C8+C9+C10-C11</f>
        <v>3965882110</v>
      </c>
      <c r="D12" s="1097"/>
      <c r="E12" s="1097">
        <f t="shared" si="0"/>
        <v>1569281752</v>
      </c>
      <c r="F12" s="1097">
        <f t="shared" si="0"/>
        <v>870000000</v>
      </c>
      <c r="G12" s="1097">
        <f t="shared" si="0"/>
        <v>20000000</v>
      </c>
      <c r="H12" s="1097">
        <f t="shared" si="0"/>
        <v>1983542762</v>
      </c>
      <c r="I12" s="1097">
        <f t="shared" si="0"/>
        <v>350000000</v>
      </c>
      <c r="J12" s="1097">
        <f t="shared" si="0"/>
        <v>8758706624</v>
      </c>
    </row>
    <row r="14" spans="1:10" ht="12.75" customHeight="1">
      <c r="A14" s="1094">
        <f>A12+1</f>
        <v>7</v>
      </c>
      <c r="B14" s="1319" t="s">
        <v>827</v>
      </c>
      <c r="C14" s="1319"/>
      <c r="D14" s="1319"/>
      <c r="E14" s="1319"/>
      <c r="F14" s="1319"/>
      <c r="G14" s="1319"/>
      <c r="H14" s="1319"/>
      <c r="I14" s="1319"/>
      <c r="J14" s="1319"/>
    </row>
    <row r="15" spans="2:10" ht="12.75" customHeight="1">
      <c r="B15" s="1098"/>
      <c r="C15" s="1098"/>
      <c r="D15" s="1098"/>
      <c r="E15" s="1098"/>
      <c r="F15" s="1098"/>
      <c r="G15" s="1098"/>
      <c r="H15" s="1098"/>
      <c r="I15" s="1098"/>
      <c r="J15" s="1098"/>
    </row>
    <row r="16" ht="15">
      <c r="A16" s="1001" t="s">
        <v>783</v>
      </c>
    </row>
    <row r="17" spans="1:10" ht="12.75">
      <c r="A17" s="1094">
        <f>A14+1</f>
        <v>8</v>
      </c>
      <c r="B17" s="1014" t="s">
        <v>567</v>
      </c>
      <c r="C17" s="304">
        <v>188068200</v>
      </c>
      <c r="D17" s="304"/>
      <c r="E17" s="304">
        <v>79376715</v>
      </c>
      <c r="F17" s="304">
        <v>43405169</v>
      </c>
      <c r="G17" s="304">
        <v>904000</v>
      </c>
      <c r="H17" s="304">
        <v>117119422</v>
      </c>
      <c r="I17" s="304">
        <v>7144374</v>
      </c>
      <c r="J17" s="865">
        <f aca="true" t="shared" si="1" ref="J17:J22">SUM(C17:I17)</f>
        <v>436017880</v>
      </c>
    </row>
    <row r="18" spans="1:10" ht="12.75">
      <c r="A18" s="1094">
        <f aca="true" t="shared" si="2" ref="A18:A23">A17+1</f>
        <v>9</v>
      </c>
      <c r="B18" s="1014" t="s">
        <v>556</v>
      </c>
      <c r="C18" s="304">
        <v>2916356</v>
      </c>
      <c r="D18" s="304"/>
      <c r="E18" s="304">
        <v>1779096</v>
      </c>
      <c r="F18" s="304">
        <v>716313</v>
      </c>
      <c r="G18" s="304">
        <v>0</v>
      </c>
      <c r="H18" s="304">
        <v>1595208</v>
      </c>
      <c r="I18" s="304">
        <v>171512</v>
      </c>
      <c r="J18" s="865">
        <f t="shared" si="1"/>
        <v>7178485</v>
      </c>
    </row>
    <row r="19" spans="1:10" ht="12.75">
      <c r="A19" s="1094">
        <f t="shared" si="2"/>
        <v>10</v>
      </c>
      <c r="B19" s="1014" t="s">
        <v>557</v>
      </c>
      <c r="C19" s="304">
        <v>3960759</v>
      </c>
      <c r="D19" s="304"/>
      <c r="E19" s="304">
        <v>1283093</v>
      </c>
      <c r="F19" s="304">
        <v>33624</v>
      </c>
      <c r="G19" s="304">
        <v>0</v>
      </c>
      <c r="H19" s="304">
        <v>1311350</v>
      </c>
      <c r="I19" s="304">
        <v>0</v>
      </c>
      <c r="J19" s="865">
        <f t="shared" si="1"/>
        <v>6588826</v>
      </c>
    </row>
    <row r="20" spans="1:10" ht="12.75">
      <c r="A20" s="1094">
        <f t="shared" si="2"/>
        <v>11</v>
      </c>
      <c r="B20" s="1014" t="s">
        <v>558</v>
      </c>
      <c r="C20" s="1049">
        <v>0</v>
      </c>
      <c r="D20" s="1049"/>
      <c r="E20" s="1049">
        <v>0</v>
      </c>
      <c r="F20" s="1049">
        <v>0</v>
      </c>
      <c r="G20" s="1049">
        <v>0</v>
      </c>
      <c r="H20" s="1049">
        <v>0</v>
      </c>
      <c r="I20" s="1049">
        <v>0</v>
      </c>
      <c r="J20" s="977">
        <f t="shared" si="1"/>
        <v>0</v>
      </c>
    </row>
    <row r="21" spans="1:10" ht="12.75">
      <c r="A21" s="1094">
        <f t="shared" si="2"/>
        <v>12</v>
      </c>
      <c r="B21" s="1014" t="s">
        <v>559</v>
      </c>
      <c r="C21" s="1049">
        <v>0</v>
      </c>
      <c r="D21" s="1049"/>
      <c r="E21" s="1049">
        <v>1712</v>
      </c>
      <c r="F21" s="1049">
        <v>0</v>
      </c>
      <c r="G21" s="1049">
        <v>0</v>
      </c>
      <c r="H21" s="1049">
        <v>0</v>
      </c>
      <c r="I21" s="1049">
        <v>0</v>
      </c>
      <c r="J21" s="977">
        <f t="shared" si="1"/>
        <v>1712</v>
      </c>
    </row>
    <row r="22" spans="1:10" ht="12.75">
      <c r="A22" s="1094">
        <f t="shared" si="2"/>
        <v>13</v>
      </c>
      <c r="B22" s="1099" t="s">
        <v>784</v>
      </c>
      <c r="C22" s="308">
        <f>328707-1131432+556802-179160+37068-194198+159672</f>
        <v>-422541</v>
      </c>
      <c r="D22" s="308"/>
      <c r="E22" s="308">
        <f>-351606+421740+1606489</f>
        <v>1676623</v>
      </c>
      <c r="F22" s="308">
        <v>92956</v>
      </c>
      <c r="G22" s="308">
        <v>0</v>
      </c>
      <c r="H22" s="308">
        <f>-418450-1679213</f>
        <v>-2097663</v>
      </c>
      <c r="I22" s="308">
        <v>0</v>
      </c>
      <c r="J22" s="1096">
        <f t="shared" si="1"/>
        <v>-750625</v>
      </c>
    </row>
    <row r="23" spans="1:10" ht="12.75">
      <c r="A23" s="1094">
        <f t="shared" si="2"/>
        <v>14</v>
      </c>
      <c r="B23" s="1100" t="s">
        <v>111</v>
      </c>
      <c r="C23" s="1101">
        <f aca="true" t="shared" si="3" ref="C23:J23">C17+C18+C19-C20-C21-C22</f>
        <v>195367856</v>
      </c>
      <c r="D23" s="1101"/>
      <c r="E23" s="1101">
        <f t="shared" si="3"/>
        <v>80760569</v>
      </c>
      <c r="F23" s="1101">
        <f t="shared" si="3"/>
        <v>44062150</v>
      </c>
      <c r="G23" s="1101">
        <f t="shared" si="3"/>
        <v>904000</v>
      </c>
      <c r="H23" s="1101">
        <f t="shared" si="3"/>
        <v>122123643</v>
      </c>
      <c r="I23" s="1101">
        <f t="shared" si="3"/>
        <v>7315886</v>
      </c>
      <c r="J23" s="1101">
        <f t="shared" si="3"/>
        <v>450534104</v>
      </c>
    </row>
    <row r="25" spans="1:5" ht="15">
      <c r="A25" s="1001" t="s">
        <v>785</v>
      </c>
      <c r="B25" s="1102"/>
      <c r="C25" s="1102"/>
      <c r="D25" s="1102"/>
      <c r="E25" s="1102"/>
    </row>
    <row r="26" spans="1:10" ht="12.75">
      <c r="A26" s="1094">
        <f>A23+1</f>
        <v>15</v>
      </c>
      <c r="B26" s="1011" t="s">
        <v>786</v>
      </c>
      <c r="C26" s="1054">
        <v>0.045</v>
      </c>
      <c r="D26" s="1125"/>
      <c r="E26" s="1126">
        <v>0.04125</v>
      </c>
      <c r="F26" s="1125"/>
      <c r="G26" s="1125"/>
      <c r="H26" s="1054">
        <v>0.0408</v>
      </c>
      <c r="I26" s="1125"/>
      <c r="J26" s="1103"/>
    </row>
    <row r="27" spans="1:10" ht="12.75">
      <c r="A27" s="1094">
        <f>A26+1</f>
        <v>16</v>
      </c>
      <c r="B27" s="1011" t="s">
        <v>787</v>
      </c>
      <c r="C27" s="1055">
        <v>100</v>
      </c>
      <c r="D27" s="1127"/>
      <c r="E27" s="1055">
        <v>100</v>
      </c>
      <c r="F27" s="1127"/>
      <c r="G27" s="1127"/>
      <c r="H27" s="1055">
        <v>100</v>
      </c>
      <c r="I27" s="1127"/>
      <c r="J27" s="1104"/>
    </row>
    <row r="28" spans="1:9" ht="12.75">
      <c r="A28" s="1094">
        <f>A27+1</f>
        <v>17</v>
      </c>
      <c r="B28" s="1011" t="s">
        <v>788</v>
      </c>
      <c r="C28" s="304">
        <v>0</v>
      </c>
      <c r="D28" s="991"/>
      <c r="E28" s="304">
        <v>0</v>
      </c>
      <c r="F28" s="991"/>
      <c r="G28" s="991"/>
      <c r="H28" s="304">
        <v>0</v>
      </c>
      <c r="I28" s="991"/>
    </row>
    <row r="29" spans="1:10" ht="12.75">
      <c r="A29" s="1094">
        <f>A28+1</f>
        <v>18</v>
      </c>
      <c r="B29" s="1011" t="str">
        <f>"Monetary Value (Ln "&amp;A27&amp;" * Ln "&amp;A28&amp;")"</f>
        <v>Monetary Value (Ln 16 * Ln 17)</v>
      </c>
      <c r="C29" s="1037">
        <f aca="true" t="shared" si="4" ref="C29:I29">C27*C28</f>
        <v>0</v>
      </c>
      <c r="D29" s="1037"/>
      <c r="E29" s="1037">
        <f t="shared" si="4"/>
        <v>0</v>
      </c>
      <c r="F29" s="1037">
        <f t="shared" si="4"/>
        <v>0</v>
      </c>
      <c r="G29" s="1037">
        <f t="shared" si="4"/>
        <v>0</v>
      </c>
      <c r="H29" s="1037">
        <f t="shared" si="4"/>
        <v>0</v>
      </c>
      <c r="I29" s="1037">
        <f t="shared" si="4"/>
        <v>0</v>
      </c>
      <c r="J29" s="1101">
        <f>SUM(C29:I29)</f>
        <v>0</v>
      </c>
    </row>
    <row r="30" spans="1:10" ht="12.75">
      <c r="A30" s="1094">
        <f>A29+1</f>
        <v>19</v>
      </c>
      <c r="B30" s="1011" t="str">
        <f>"Dividend Amount (Ln "&amp;A26&amp;" * Ln "&amp;A29&amp;")"</f>
        <v>Dividend Amount (Ln 15 * Ln 18)</v>
      </c>
      <c r="C30" s="1037">
        <f aca="true" t="shared" si="5" ref="C30:I30">C29*C26</f>
        <v>0</v>
      </c>
      <c r="D30" s="1037"/>
      <c r="E30" s="1037">
        <f t="shared" si="5"/>
        <v>0</v>
      </c>
      <c r="F30" s="1037">
        <f t="shared" si="5"/>
        <v>0</v>
      </c>
      <c r="G30" s="1037">
        <f t="shared" si="5"/>
        <v>0</v>
      </c>
      <c r="H30" s="1037">
        <f t="shared" si="5"/>
        <v>0</v>
      </c>
      <c r="I30" s="1037">
        <f t="shared" si="5"/>
        <v>0</v>
      </c>
      <c r="J30" s="1101">
        <f>SUM(C30:I30)</f>
        <v>0</v>
      </c>
    </row>
    <row r="32" spans="1:9" ht="12.75">
      <c r="A32" s="1094">
        <f>A30+1</f>
        <v>20</v>
      </c>
      <c r="B32" s="1011" t="s">
        <v>786</v>
      </c>
      <c r="C32" s="1054"/>
      <c r="D32" s="1125"/>
      <c r="E32" s="1126">
        <v>0.0412</v>
      </c>
      <c r="F32" s="1125"/>
      <c r="G32" s="1125"/>
      <c r="H32" s="1054">
        <v>0.042</v>
      </c>
      <c r="I32" s="1125"/>
    </row>
    <row r="33" spans="1:9" ht="12.75">
      <c r="A33" s="1094">
        <f>A32+1</f>
        <v>21</v>
      </c>
      <c r="B33" s="1011" t="s">
        <v>787</v>
      </c>
      <c r="C33" s="1055"/>
      <c r="D33" s="1127"/>
      <c r="E33" s="1055">
        <v>100</v>
      </c>
      <c r="F33" s="1127"/>
      <c r="G33" s="1127"/>
      <c r="H33" s="1055">
        <v>100</v>
      </c>
      <c r="I33" s="1127"/>
    </row>
    <row r="34" spans="1:9" ht="12.75">
      <c r="A34" s="1094">
        <f>A33+1</f>
        <v>22</v>
      </c>
      <c r="B34" s="1011" t="s">
        <v>788</v>
      </c>
      <c r="C34" s="304"/>
      <c r="D34" s="991"/>
      <c r="E34" s="304">
        <v>0</v>
      </c>
      <c r="F34" s="991"/>
      <c r="G34" s="991"/>
      <c r="H34" s="304">
        <v>0</v>
      </c>
      <c r="I34" s="991"/>
    </row>
    <row r="35" spans="1:10" ht="12.75">
      <c r="A35" s="1094">
        <f>A34+1</f>
        <v>23</v>
      </c>
      <c r="B35" s="1011" t="str">
        <f>"Monetary Value (Ln "&amp;A33&amp;" * Ln "&amp;A34&amp;")"</f>
        <v>Monetary Value (Ln 21 * Ln 22)</v>
      </c>
      <c r="C35" s="1037">
        <f aca="true" t="shared" si="6" ref="C35:I35">C33*C34</f>
        <v>0</v>
      </c>
      <c r="D35" s="1037"/>
      <c r="E35" s="1037">
        <f t="shared" si="6"/>
        <v>0</v>
      </c>
      <c r="F35" s="1037">
        <f t="shared" si="6"/>
        <v>0</v>
      </c>
      <c r="G35" s="1037">
        <f t="shared" si="6"/>
        <v>0</v>
      </c>
      <c r="H35" s="1037">
        <f t="shared" si="6"/>
        <v>0</v>
      </c>
      <c r="I35" s="1037">
        <f t="shared" si="6"/>
        <v>0</v>
      </c>
      <c r="J35" s="1101">
        <f>SUM(C35:I35)</f>
        <v>0</v>
      </c>
    </row>
    <row r="36" spans="1:10" ht="12.75">
      <c r="A36" s="1094">
        <f>A35+1</f>
        <v>24</v>
      </c>
      <c r="B36" s="1011" t="str">
        <f>"Dividend Amount (Ln "&amp;A32&amp;" * Ln "&amp;A35&amp;")"</f>
        <v>Dividend Amount (Ln 20 * Ln 23)</v>
      </c>
      <c r="C36" s="1037">
        <f aca="true" t="shared" si="7" ref="C36:I36">C35*C32</f>
        <v>0</v>
      </c>
      <c r="D36" s="1037"/>
      <c r="E36" s="1037">
        <f t="shared" si="7"/>
        <v>0</v>
      </c>
      <c r="F36" s="1037">
        <f t="shared" si="7"/>
        <v>0</v>
      </c>
      <c r="G36" s="1037">
        <f t="shared" si="7"/>
        <v>0</v>
      </c>
      <c r="H36" s="1037">
        <f t="shared" si="7"/>
        <v>0</v>
      </c>
      <c r="I36" s="1037">
        <f t="shared" si="7"/>
        <v>0</v>
      </c>
      <c r="J36" s="1101">
        <f>SUM(C36:I36)</f>
        <v>0</v>
      </c>
    </row>
    <row r="38" spans="1:9" ht="12.75">
      <c r="A38" s="1094">
        <f>A36+1</f>
        <v>25</v>
      </c>
      <c r="B38" s="1011" t="s">
        <v>786</v>
      </c>
      <c r="C38" s="1054"/>
      <c r="D38" s="1125"/>
      <c r="E38" s="1126">
        <v>0.0456</v>
      </c>
      <c r="F38" s="1125"/>
      <c r="G38" s="1125"/>
      <c r="H38" s="1054">
        <v>0.044</v>
      </c>
      <c r="I38" s="1125"/>
    </row>
    <row r="39" spans="1:9" ht="12.75">
      <c r="A39" s="1094">
        <f>A38+1</f>
        <v>26</v>
      </c>
      <c r="B39" s="1011" t="s">
        <v>787</v>
      </c>
      <c r="C39" s="1055"/>
      <c r="D39" s="1127"/>
      <c r="E39" s="1055">
        <v>100</v>
      </c>
      <c r="F39" s="1127"/>
      <c r="G39" s="1127"/>
      <c r="H39" s="1055">
        <v>100</v>
      </c>
      <c r="I39" s="1127"/>
    </row>
    <row r="40" spans="1:9" ht="12.75">
      <c r="A40" s="1094">
        <f>A39+1</f>
        <v>27</v>
      </c>
      <c r="B40" s="1011" t="s">
        <v>788</v>
      </c>
      <c r="C40" s="304"/>
      <c r="D40" s="991"/>
      <c r="E40" s="304">
        <v>0</v>
      </c>
      <c r="F40" s="991"/>
      <c r="G40" s="991"/>
      <c r="H40" s="304">
        <v>0</v>
      </c>
      <c r="I40" s="991"/>
    </row>
    <row r="41" spans="1:10" ht="12.75">
      <c r="A41" s="1094">
        <f>A40+1</f>
        <v>28</v>
      </c>
      <c r="B41" s="1011" t="str">
        <f>"Monetary Value (Ln "&amp;A39&amp;" * Ln "&amp;A40&amp;")"</f>
        <v>Monetary Value (Ln 26 * Ln 27)</v>
      </c>
      <c r="C41" s="1037">
        <f aca="true" t="shared" si="8" ref="C41:I41">C39*C40</f>
        <v>0</v>
      </c>
      <c r="D41" s="1037"/>
      <c r="E41" s="1037">
        <f t="shared" si="8"/>
        <v>0</v>
      </c>
      <c r="F41" s="1037">
        <f t="shared" si="8"/>
        <v>0</v>
      </c>
      <c r="G41" s="1037">
        <f t="shared" si="8"/>
        <v>0</v>
      </c>
      <c r="H41" s="1037">
        <f t="shared" si="8"/>
        <v>0</v>
      </c>
      <c r="I41" s="1037">
        <f t="shared" si="8"/>
        <v>0</v>
      </c>
      <c r="J41" s="1101">
        <f>SUM(C41:I41)</f>
        <v>0</v>
      </c>
    </row>
    <row r="42" spans="1:10" ht="12.75">
      <c r="A42" s="1094">
        <f>A41+1</f>
        <v>29</v>
      </c>
      <c r="B42" s="1011" t="str">
        <f>"Dividend Amount (Ln "&amp;A38&amp;" * Ln "&amp;A41&amp;")"</f>
        <v>Dividend Amount (Ln 25 * Ln 28)</v>
      </c>
      <c r="C42" s="1037">
        <f aca="true" t="shared" si="9" ref="C42:I42">C41*C38</f>
        <v>0</v>
      </c>
      <c r="D42" s="1037"/>
      <c r="E42" s="1037">
        <f t="shared" si="9"/>
        <v>0</v>
      </c>
      <c r="F42" s="1037">
        <f t="shared" si="9"/>
        <v>0</v>
      </c>
      <c r="G42" s="1037">
        <f t="shared" si="9"/>
        <v>0</v>
      </c>
      <c r="H42" s="1037">
        <f t="shared" si="9"/>
        <v>0</v>
      </c>
      <c r="I42" s="1037">
        <f t="shared" si="9"/>
        <v>0</v>
      </c>
      <c r="J42" s="1101">
        <f>SUM(C42:I42)</f>
        <v>0</v>
      </c>
    </row>
    <row r="44" spans="1:9" ht="12.75">
      <c r="A44" s="1094">
        <f>A42+1</f>
        <v>30</v>
      </c>
      <c r="B44" s="1011" t="s">
        <v>786</v>
      </c>
      <c r="C44" s="1054"/>
      <c r="D44" s="1125"/>
      <c r="E44" s="1126"/>
      <c r="F44" s="1125"/>
      <c r="G44" s="1125"/>
      <c r="H44" s="1054">
        <v>0.045</v>
      </c>
      <c r="I44" s="1125"/>
    </row>
    <row r="45" spans="1:9" ht="12.75">
      <c r="A45" s="1094">
        <f>A44+1</f>
        <v>31</v>
      </c>
      <c r="B45" s="1011" t="s">
        <v>787</v>
      </c>
      <c r="C45" s="1055"/>
      <c r="D45" s="1127"/>
      <c r="E45" s="1055"/>
      <c r="F45" s="1127"/>
      <c r="G45" s="1127"/>
      <c r="H45" s="1055">
        <v>100</v>
      </c>
      <c r="I45" s="1127"/>
    </row>
    <row r="46" spans="1:9" ht="12.75">
      <c r="A46" s="1094">
        <f>A45+1</f>
        <v>32</v>
      </c>
      <c r="B46" s="1011" t="s">
        <v>788</v>
      </c>
      <c r="C46" s="304"/>
      <c r="D46" s="991"/>
      <c r="E46" s="304"/>
      <c r="F46" s="991"/>
      <c r="G46" s="991"/>
      <c r="H46" s="304">
        <v>0</v>
      </c>
      <c r="I46" s="991"/>
    </row>
    <row r="47" spans="1:10" ht="12.75">
      <c r="A47" s="1094">
        <f>A46+1</f>
        <v>33</v>
      </c>
      <c r="B47" s="1011" t="str">
        <f>"Monetary Value (Ln "&amp;A45&amp;" * Ln "&amp;A46&amp;")"</f>
        <v>Monetary Value (Ln 31 * Ln 32)</v>
      </c>
      <c r="C47" s="1037">
        <f aca="true" t="shared" si="10" ref="C47:I47">C45*C46</f>
        <v>0</v>
      </c>
      <c r="D47" s="1037"/>
      <c r="E47" s="1037">
        <f t="shared" si="10"/>
        <v>0</v>
      </c>
      <c r="F47" s="1037">
        <f t="shared" si="10"/>
        <v>0</v>
      </c>
      <c r="G47" s="1037">
        <f t="shared" si="10"/>
        <v>0</v>
      </c>
      <c r="H47" s="1037">
        <f t="shared" si="10"/>
        <v>0</v>
      </c>
      <c r="I47" s="1037">
        <f t="shared" si="10"/>
        <v>0</v>
      </c>
      <c r="J47" s="1101">
        <f>SUM(C47:I47)</f>
        <v>0</v>
      </c>
    </row>
    <row r="48" spans="1:10" ht="12.75">
      <c r="A48" s="1094">
        <f>A47+1</f>
        <v>34</v>
      </c>
      <c r="B48" s="1011" t="str">
        <f>"Dividend Amount (Ln "&amp;A44&amp;" * Ln "&amp;A47&amp;")"</f>
        <v>Dividend Amount (Ln 30 * Ln 33)</v>
      </c>
      <c r="C48" s="1037">
        <f aca="true" t="shared" si="11" ref="C48:I48">C47*C44</f>
        <v>0</v>
      </c>
      <c r="D48" s="1037"/>
      <c r="E48" s="1037">
        <f t="shared" si="11"/>
        <v>0</v>
      </c>
      <c r="F48" s="1037">
        <f t="shared" si="11"/>
        <v>0</v>
      </c>
      <c r="G48" s="1037">
        <f t="shared" si="11"/>
        <v>0</v>
      </c>
      <c r="H48" s="1037">
        <f t="shared" si="11"/>
        <v>0</v>
      </c>
      <c r="I48" s="1037">
        <f t="shared" si="11"/>
        <v>0</v>
      </c>
      <c r="J48" s="1101">
        <f>SUM(C48:I48)</f>
        <v>0</v>
      </c>
    </row>
    <row r="49" ht="12.75">
      <c r="B49" s="1011"/>
    </row>
    <row r="50" spans="1:10" ht="12.75">
      <c r="A50" s="1094">
        <f>A48+1</f>
        <v>35</v>
      </c>
      <c r="B50" s="1003" t="str">
        <f>"Preferred Stock (Lns "&amp;A29&amp;", "&amp;A35&amp;", "&amp;A41&amp;","&amp;A47&amp;")"</f>
        <v>Preferred Stock (Lns 18, 23, 28,33)</v>
      </c>
      <c r="C50" s="1101">
        <f aca="true" t="shared" si="12" ref="C50:I51">C29+C35+C41+C47</f>
        <v>0</v>
      </c>
      <c r="D50" s="1101"/>
      <c r="E50" s="1101">
        <f t="shared" si="12"/>
        <v>0</v>
      </c>
      <c r="F50" s="1101">
        <f t="shared" si="12"/>
        <v>0</v>
      </c>
      <c r="G50" s="1101">
        <f t="shared" si="12"/>
        <v>0</v>
      </c>
      <c r="H50" s="1101">
        <f t="shared" si="12"/>
        <v>0</v>
      </c>
      <c r="I50" s="1101">
        <f t="shared" si="12"/>
        <v>0</v>
      </c>
      <c r="J50" s="1101">
        <f>SUM(C50:I50)</f>
        <v>0</v>
      </c>
    </row>
    <row r="51" spans="1:10" ht="12.75">
      <c r="A51" s="1094">
        <f>A50+1</f>
        <v>36</v>
      </c>
      <c r="B51" s="1003" t="str">
        <f>"Preferred Dividends (Lns "&amp;A30&amp;", "&amp;A36&amp;", "&amp;A42&amp;","&amp;A48&amp;")"</f>
        <v>Preferred Dividends (Lns 19, 24, 29,34)</v>
      </c>
      <c r="C51" s="1101">
        <f t="shared" si="12"/>
        <v>0</v>
      </c>
      <c r="D51" s="1101"/>
      <c r="E51" s="1101">
        <f t="shared" si="12"/>
        <v>0</v>
      </c>
      <c r="F51" s="1101">
        <f t="shared" si="12"/>
        <v>0</v>
      </c>
      <c r="G51" s="1101">
        <f t="shared" si="12"/>
        <v>0</v>
      </c>
      <c r="H51" s="1101">
        <f t="shared" si="12"/>
        <v>0</v>
      </c>
      <c r="I51" s="1101">
        <f t="shared" si="12"/>
        <v>0</v>
      </c>
      <c r="J51" s="1101">
        <f>SUM(C51:I51)</f>
        <v>0</v>
      </c>
    </row>
    <row r="52" ht="12.75">
      <c r="B52" s="1105"/>
    </row>
    <row r="53" ht="15">
      <c r="A53" s="1001" t="s">
        <v>789</v>
      </c>
    </row>
    <row r="54" spans="1:10" ht="12.75">
      <c r="A54" s="1094">
        <f>A51+1</f>
        <v>37</v>
      </c>
      <c r="B54" s="800" t="s">
        <v>790</v>
      </c>
      <c r="C54" s="304">
        <v>3475050089</v>
      </c>
      <c r="D54" s="304"/>
      <c r="E54" s="304">
        <v>2036408552</v>
      </c>
      <c r="F54" s="304">
        <v>663073876</v>
      </c>
      <c r="G54" s="304">
        <v>29626191</v>
      </c>
      <c r="H54" s="304">
        <v>1986574950</v>
      </c>
      <c r="I54" s="304">
        <v>406461375</v>
      </c>
      <c r="J54" s="1101">
        <f>SUM(C54:I54)</f>
        <v>8597195033</v>
      </c>
    </row>
    <row r="55" spans="1:10" ht="12.75">
      <c r="A55" s="1094">
        <f>A54+1</f>
        <v>38</v>
      </c>
      <c r="B55" s="800" t="str">
        <f>"Less: Preferred Stock (Ln "&amp;A50&amp;" Above)"</f>
        <v>Less: Preferred Stock (Ln 35 Above)</v>
      </c>
      <c r="C55" s="865">
        <f aca="true" t="shared" si="13" ref="C55:I55">C50</f>
        <v>0</v>
      </c>
      <c r="D55" s="865"/>
      <c r="E55" s="865">
        <f t="shared" si="13"/>
        <v>0</v>
      </c>
      <c r="F55" s="865">
        <f t="shared" si="13"/>
        <v>0</v>
      </c>
      <c r="G55" s="865">
        <f t="shared" si="13"/>
        <v>0</v>
      </c>
      <c r="H55" s="865">
        <f t="shared" si="13"/>
        <v>0</v>
      </c>
      <c r="I55" s="865">
        <f t="shared" si="13"/>
        <v>0</v>
      </c>
      <c r="J55" s="1101">
        <f>SUM(C55:I55)</f>
        <v>0</v>
      </c>
    </row>
    <row r="56" spans="1:10" ht="12.75">
      <c r="A56" s="1094">
        <f>A55+1</f>
        <v>39</v>
      </c>
      <c r="B56" s="800" t="s">
        <v>791</v>
      </c>
      <c r="C56" s="1049">
        <v>1758641</v>
      </c>
      <c r="D56" s="1049"/>
      <c r="E56" s="1049">
        <v>31416</v>
      </c>
      <c r="F56" s="1049">
        <v>0</v>
      </c>
      <c r="G56" s="1049">
        <v>0</v>
      </c>
      <c r="H56" s="1049">
        <v>4915704</v>
      </c>
      <c r="I56" s="1049">
        <v>0</v>
      </c>
      <c r="J56" s="1101">
        <f>SUM(C56:I56)</f>
        <v>6705761</v>
      </c>
    </row>
    <row r="57" spans="1:10" ht="12.75">
      <c r="A57" s="1094">
        <f>A56+1</f>
        <v>40</v>
      </c>
      <c r="B57" s="800" t="s">
        <v>792</v>
      </c>
      <c r="C57" s="308">
        <v>-2792656</v>
      </c>
      <c r="D57" s="308"/>
      <c r="E57" s="308">
        <v>-16739231</v>
      </c>
      <c r="F57" s="308">
        <v>-1645475</v>
      </c>
      <c r="G57" s="308">
        <v>0</v>
      </c>
      <c r="H57" s="308">
        <v>4229596</v>
      </c>
      <c r="I57" s="308">
        <v>61921</v>
      </c>
      <c r="J57" s="1106">
        <f>SUM(C57:I57)</f>
        <v>-16885845</v>
      </c>
    </row>
    <row r="58" spans="1:10" ht="12.75">
      <c r="A58" s="1094">
        <f>A57+1</f>
        <v>41</v>
      </c>
      <c r="B58" s="1008" t="s">
        <v>793</v>
      </c>
      <c r="C58" s="977">
        <f aca="true" t="shared" si="14" ref="C58:J58">C54-C55-C56-C57</f>
        <v>3476084104</v>
      </c>
      <c r="D58" s="977"/>
      <c r="E58" s="977">
        <f t="shared" si="14"/>
        <v>2053116367</v>
      </c>
      <c r="F58" s="977">
        <f t="shared" si="14"/>
        <v>664719351</v>
      </c>
      <c r="G58" s="977">
        <f t="shared" si="14"/>
        <v>29626191</v>
      </c>
      <c r="H58" s="977">
        <f t="shared" si="14"/>
        <v>1977429650</v>
      </c>
      <c r="I58" s="977">
        <f t="shared" si="14"/>
        <v>406399454</v>
      </c>
      <c r="J58" s="977">
        <f t="shared" si="14"/>
        <v>8607375117</v>
      </c>
    </row>
    <row r="60" ht="15">
      <c r="A60" s="1001" t="s">
        <v>794</v>
      </c>
    </row>
    <row r="61" spans="1:10" ht="12.75">
      <c r="A61" s="1094">
        <f>A58+1</f>
        <v>42</v>
      </c>
      <c r="B61" s="1042" t="str">
        <f>"Long Term Debt (Ln "&amp;A12&amp;" Above)"</f>
        <v>Long Term Debt (Ln 6 Above)</v>
      </c>
      <c r="C61" s="1101">
        <f aca="true" t="shared" si="15" ref="C61:J61">C12</f>
        <v>3965882110</v>
      </c>
      <c r="D61" s="1101"/>
      <c r="E61" s="1101">
        <f t="shared" si="15"/>
        <v>1569281752</v>
      </c>
      <c r="F61" s="1101">
        <f t="shared" si="15"/>
        <v>870000000</v>
      </c>
      <c r="G61" s="1101">
        <f t="shared" si="15"/>
        <v>20000000</v>
      </c>
      <c r="H61" s="1101">
        <f t="shared" si="15"/>
        <v>1983542762</v>
      </c>
      <c r="I61" s="1101">
        <f t="shared" si="15"/>
        <v>350000000</v>
      </c>
      <c r="J61" s="1101">
        <f t="shared" si="15"/>
        <v>8758706624</v>
      </c>
    </row>
    <row r="62" spans="1:10" ht="12.75">
      <c r="A62" s="1094">
        <f>A61+1</f>
        <v>43</v>
      </c>
      <c r="B62" s="1042" t="str">
        <f>"Preferred Stock (Ln "&amp;A50&amp;" Above)"</f>
        <v>Preferred Stock (Ln 35 Above)</v>
      </c>
      <c r="C62" s="1101">
        <f aca="true" t="shared" si="16" ref="C62:J62">C50</f>
        <v>0</v>
      </c>
      <c r="D62" s="1101"/>
      <c r="E62" s="1101">
        <f t="shared" si="16"/>
        <v>0</v>
      </c>
      <c r="F62" s="1101">
        <f t="shared" si="16"/>
        <v>0</v>
      </c>
      <c r="G62" s="1101">
        <f t="shared" si="16"/>
        <v>0</v>
      </c>
      <c r="H62" s="1101">
        <f t="shared" si="16"/>
        <v>0</v>
      </c>
      <c r="I62" s="1101">
        <f t="shared" si="16"/>
        <v>0</v>
      </c>
      <c r="J62" s="1101">
        <f t="shared" si="16"/>
        <v>0</v>
      </c>
    </row>
    <row r="63" spans="1:10" ht="12.75">
      <c r="A63" s="1094">
        <f>A62+1</f>
        <v>44</v>
      </c>
      <c r="B63" s="1042" t="str">
        <f>"Common Equity (Ln "&amp;A58&amp;" Above)"</f>
        <v>Common Equity (Ln 41 Above)</v>
      </c>
      <c r="C63" s="1106">
        <f aca="true" t="shared" si="17" ref="C63:J63">C58</f>
        <v>3476084104</v>
      </c>
      <c r="D63" s="1106"/>
      <c r="E63" s="1106">
        <f t="shared" si="17"/>
        <v>2053116367</v>
      </c>
      <c r="F63" s="1106">
        <f t="shared" si="17"/>
        <v>664719351</v>
      </c>
      <c r="G63" s="1106">
        <f t="shared" si="17"/>
        <v>29626191</v>
      </c>
      <c r="H63" s="1106">
        <f t="shared" si="17"/>
        <v>1977429650</v>
      </c>
      <c r="I63" s="1106">
        <f t="shared" si="17"/>
        <v>406399454</v>
      </c>
      <c r="J63" s="1106">
        <f t="shared" si="17"/>
        <v>8607375117</v>
      </c>
    </row>
    <row r="64" spans="1:10" ht="12.75">
      <c r="A64" s="1094">
        <f>A63+1</f>
        <v>45</v>
      </c>
      <c r="B64" s="1094" t="s">
        <v>795</v>
      </c>
      <c r="C64" s="1101">
        <f aca="true" t="shared" si="18" ref="C64:J64">SUM(C61:C63)</f>
        <v>7441966214</v>
      </c>
      <c r="D64" s="1101"/>
      <c r="E64" s="1101">
        <f t="shared" si="18"/>
        <v>3622398119</v>
      </c>
      <c r="F64" s="1101">
        <f t="shared" si="18"/>
        <v>1534719351</v>
      </c>
      <c r="G64" s="1101">
        <f t="shared" si="18"/>
        <v>49626191</v>
      </c>
      <c r="H64" s="1101">
        <f t="shared" si="18"/>
        <v>3960972412</v>
      </c>
      <c r="I64" s="1101">
        <f t="shared" si="18"/>
        <v>756399454</v>
      </c>
      <c r="J64" s="1101">
        <f t="shared" si="18"/>
        <v>17366081741</v>
      </c>
    </row>
    <row r="66" spans="1:10" ht="12.75">
      <c r="A66" s="1094">
        <f>A64+1</f>
        <v>46</v>
      </c>
      <c r="B66" s="1042" t="str">
        <f>"LTD Capital Shares (Ln "&amp;A61&amp;" / Ln "&amp;A64&amp;")"</f>
        <v>LTD Capital Shares (Ln 42 / Ln 45)</v>
      </c>
      <c r="C66" s="1107">
        <f aca="true" t="shared" si="19" ref="C66:J66">C61/C64</f>
        <v>0.5329078359075711</v>
      </c>
      <c r="D66" s="1107"/>
      <c r="E66" s="1107">
        <f t="shared" si="19"/>
        <v>0.43321625631619315</v>
      </c>
      <c r="F66" s="1107">
        <f t="shared" si="19"/>
        <v>0.566878888594922</v>
      </c>
      <c r="G66" s="1107">
        <f t="shared" si="19"/>
        <v>0.4030129977132438</v>
      </c>
      <c r="H66" s="1107">
        <f t="shared" si="19"/>
        <v>0.5007716680860336</v>
      </c>
      <c r="I66" s="1107">
        <f t="shared" si="19"/>
        <v>0.4627184725598705</v>
      </c>
      <c r="J66" s="1107">
        <f t="shared" si="19"/>
        <v>0.5043570999278069</v>
      </c>
    </row>
    <row r="67" spans="1:10" ht="12.75">
      <c r="A67" s="1094">
        <f>A66+1</f>
        <v>47</v>
      </c>
      <c r="B67" s="1042" t="str">
        <f>"Preferred Stock Capital Shares (Ln "&amp;A62&amp;" / Ln "&amp;A64&amp;")"</f>
        <v>Preferred Stock Capital Shares (Ln 43 / Ln 45)</v>
      </c>
      <c r="C67" s="1107">
        <f aca="true" t="shared" si="20" ref="C67:J67">C62/C64</f>
        <v>0</v>
      </c>
      <c r="D67" s="1107"/>
      <c r="E67" s="1107">
        <f t="shared" si="20"/>
        <v>0</v>
      </c>
      <c r="F67" s="1107">
        <f t="shared" si="20"/>
        <v>0</v>
      </c>
      <c r="G67" s="1107">
        <f t="shared" si="20"/>
        <v>0</v>
      </c>
      <c r="H67" s="1107">
        <f t="shared" si="20"/>
        <v>0</v>
      </c>
      <c r="I67" s="1107">
        <f t="shared" si="20"/>
        <v>0</v>
      </c>
      <c r="J67" s="1107">
        <f t="shared" si="20"/>
        <v>0</v>
      </c>
    </row>
    <row r="68" spans="1:10" ht="12.75">
      <c r="A68" s="1108">
        <f>A67+1</f>
        <v>48</v>
      </c>
      <c r="B68" s="1042" t="str">
        <f>"Common Equity Capital Shares (Ln "&amp;A63&amp;" / Ln "&amp;A64&amp;")"</f>
        <v>Common Equity Capital Shares (Ln 44 / Ln 45)</v>
      </c>
      <c r="C68" s="772">
        <f aca="true" t="shared" si="21" ref="C68:J68">C63/C64</f>
        <v>0.46709216409242893</v>
      </c>
      <c r="D68" s="772"/>
      <c r="E68" s="772">
        <f t="shared" si="21"/>
        <v>0.5667837436838068</v>
      </c>
      <c r="F68" s="772">
        <f t="shared" si="21"/>
        <v>0.433121111405078</v>
      </c>
      <c r="G68" s="772">
        <f t="shared" si="21"/>
        <v>0.5969870022867562</v>
      </c>
      <c r="H68" s="772">
        <f t="shared" si="21"/>
        <v>0.49922833191396637</v>
      </c>
      <c r="I68" s="772">
        <f t="shared" si="21"/>
        <v>0.5372815274401296</v>
      </c>
      <c r="J68" s="772">
        <f t="shared" si="21"/>
        <v>0.4956429000721931</v>
      </c>
    </row>
    <row r="69" spans="1:10" ht="12.75">
      <c r="A69" s="1108"/>
      <c r="B69" s="1042"/>
      <c r="C69" s="772"/>
      <c r="D69" s="772"/>
      <c r="E69" s="772"/>
      <c r="F69" s="772"/>
      <c r="G69" s="772"/>
      <c r="H69" s="772"/>
      <c r="I69" s="772"/>
      <c r="J69" s="772"/>
    </row>
    <row r="70" spans="1:10" ht="12.75">
      <c r="A70" s="1108">
        <f>A68+1</f>
        <v>49</v>
      </c>
      <c r="B70" s="1003" t="s">
        <v>849</v>
      </c>
      <c r="C70" s="1109"/>
      <c r="D70" s="1109"/>
      <c r="E70" s="1109"/>
      <c r="F70" s="1109"/>
      <c r="G70" s="1109"/>
      <c r="H70" s="1109"/>
      <c r="I70" s="1109"/>
      <c r="J70" s="1109"/>
    </row>
    <row r="71" spans="1:10" ht="12.75">
      <c r="A71" s="1108"/>
      <c r="B71" s="1042"/>
      <c r="C71" s="772"/>
      <c r="D71" s="772"/>
      <c r="E71" s="772"/>
      <c r="F71" s="772"/>
      <c r="G71" s="772"/>
      <c r="H71" s="772"/>
      <c r="I71" s="772"/>
      <c r="J71" s="772"/>
    </row>
    <row r="72" spans="1:10" ht="12.75">
      <c r="A72" s="1108">
        <f>A70+1</f>
        <v>50</v>
      </c>
      <c r="B72" s="1003" t="s">
        <v>849</v>
      </c>
      <c r="C72" s="772"/>
      <c r="D72" s="772"/>
      <c r="E72" s="772"/>
      <c r="F72" s="772"/>
      <c r="G72" s="772"/>
      <c r="H72" s="772"/>
      <c r="I72" s="772"/>
      <c r="J72" s="772"/>
    </row>
    <row r="73" spans="1:10" ht="12.75">
      <c r="A73" s="1108">
        <f>A72+1</f>
        <v>51</v>
      </c>
      <c r="B73" s="1003" t="s">
        <v>849</v>
      </c>
      <c r="C73" s="772"/>
      <c r="D73" s="772"/>
      <c r="E73" s="772"/>
      <c r="F73" s="772"/>
      <c r="G73" s="772"/>
      <c r="H73" s="772"/>
      <c r="I73" s="772"/>
      <c r="J73" s="772"/>
    </row>
    <row r="74" spans="1:10" ht="12.75">
      <c r="A74" s="1108">
        <f>A73+1</f>
        <v>52</v>
      </c>
      <c r="B74" s="1003" t="s">
        <v>849</v>
      </c>
      <c r="C74" s="772"/>
      <c r="D74" s="772"/>
      <c r="E74" s="772"/>
      <c r="F74" s="772"/>
      <c r="G74" s="772"/>
      <c r="H74" s="772"/>
      <c r="I74" s="772"/>
      <c r="J74" s="772"/>
    </row>
    <row r="75" spans="2:10" ht="12.75">
      <c r="B75" s="1042"/>
      <c r="C75" s="1107"/>
      <c r="D75" s="1107"/>
      <c r="E75" s="1107"/>
      <c r="F75" s="1107"/>
      <c r="G75" s="1107"/>
      <c r="H75" s="1107"/>
      <c r="I75" s="1107"/>
      <c r="J75" s="1107"/>
    </row>
    <row r="76" ht="15">
      <c r="A76" s="1001" t="s">
        <v>796</v>
      </c>
    </row>
    <row r="77" spans="1:10" ht="12.75">
      <c r="A77" s="1094">
        <f>A74+1</f>
        <v>53</v>
      </c>
      <c r="B77" s="1042" t="str">
        <f>"LTD Capital Cost Rate (Ln "&amp;A23&amp;" / Ln "&amp;A12&amp;")"</f>
        <v>LTD Capital Cost Rate (Ln 14 / Ln 6)</v>
      </c>
      <c r="C77" s="1107">
        <f aca="true" t="shared" si="22" ref="C77:J77">C23/C12</f>
        <v>0.04926214410342117</v>
      </c>
      <c r="D77" s="1107"/>
      <c r="E77" s="1107">
        <f t="shared" si="22"/>
        <v>0.05146339648509467</v>
      </c>
      <c r="F77" s="1107">
        <f t="shared" si="22"/>
        <v>0.050646149425287355</v>
      </c>
      <c r="G77" s="1107">
        <f t="shared" si="22"/>
        <v>0.0452</v>
      </c>
      <c r="H77" s="1107">
        <f t="shared" si="22"/>
        <v>0.06156844477447167</v>
      </c>
      <c r="I77" s="1107">
        <f t="shared" si="22"/>
        <v>0.020902531428571427</v>
      </c>
      <c r="J77" s="1107">
        <f t="shared" si="22"/>
        <v>0.05143842845078036</v>
      </c>
    </row>
    <row r="78" spans="1:10" ht="12.75">
      <c r="A78" s="1094">
        <f>A77+1</f>
        <v>54</v>
      </c>
      <c r="B78" s="1042" t="str">
        <f>"Preferred Stock Capital Cost Rate (Ln "&amp;A51&amp;" / Ln "&amp;A50&amp;")"</f>
        <v>Preferred Stock Capital Cost Rate (Ln 36 / Ln 35)</v>
      </c>
      <c r="C78" s="1107">
        <f aca="true" t="shared" si="23" ref="C78:J78">IF(C50=0,0,C51/C50)</f>
        <v>0</v>
      </c>
      <c r="D78" s="1107"/>
      <c r="E78" s="1107">
        <f t="shared" si="23"/>
        <v>0</v>
      </c>
      <c r="F78" s="1107">
        <f t="shared" si="23"/>
        <v>0</v>
      </c>
      <c r="G78" s="1107">
        <f t="shared" si="23"/>
        <v>0</v>
      </c>
      <c r="H78" s="1107">
        <f t="shared" si="23"/>
        <v>0</v>
      </c>
      <c r="I78" s="1107">
        <f t="shared" si="23"/>
        <v>0</v>
      </c>
      <c r="J78" s="1107">
        <f t="shared" si="23"/>
        <v>0</v>
      </c>
    </row>
    <row r="79" spans="1:10" ht="12.75">
      <c r="A79" s="1094">
        <f>A78+1</f>
        <v>55</v>
      </c>
      <c r="B79" s="1042" t="s">
        <v>797</v>
      </c>
      <c r="C79" s="772">
        <f>TCOS!J260</f>
        <v>0.1149</v>
      </c>
      <c r="D79" s="772"/>
      <c r="E79" s="772">
        <f>C79</f>
        <v>0.1149</v>
      </c>
      <c r="F79" s="772">
        <f>E79</f>
        <v>0.1149</v>
      </c>
      <c r="G79" s="772">
        <f>F79</f>
        <v>0.1149</v>
      </c>
      <c r="H79" s="772">
        <f>G79</f>
        <v>0.1149</v>
      </c>
      <c r="I79" s="772">
        <f>H79</f>
        <v>0.1149</v>
      </c>
      <c r="J79" s="772">
        <f>I79</f>
        <v>0.1149</v>
      </c>
    </row>
    <row r="81" ht="15">
      <c r="A81" s="1001" t="s">
        <v>798</v>
      </c>
    </row>
    <row r="82" spans="1:10" ht="12.75">
      <c r="A82" s="1094">
        <f>A79+1</f>
        <v>56</v>
      </c>
      <c r="B82" s="1042" t="str">
        <f>"LTD Weighted Capital Cost Rate (Ln "&amp;A66&amp;" * Ln "&amp;A77&amp;")"</f>
        <v>LTD Weighted Capital Cost Rate (Ln 46 * Ln 53)</v>
      </c>
      <c r="C82" s="1107">
        <f>C66*C77</f>
        <v>0.026252182606321086</v>
      </c>
      <c r="D82" s="1107"/>
      <c r="E82" s="1107">
        <f aca="true" t="shared" si="24" ref="E82:J82">E66*E77</f>
        <v>0.022294779962588645</v>
      </c>
      <c r="F82" s="1107">
        <f t="shared" si="24"/>
        <v>0.02871023289781924</v>
      </c>
      <c r="G82" s="1107">
        <f t="shared" si="24"/>
        <v>0.018216187496638617</v>
      </c>
      <c r="H82" s="1107">
        <f t="shared" si="24"/>
        <v>0.030831732791175015</v>
      </c>
      <c r="I82" s="1107">
        <f t="shared" si="24"/>
        <v>0.009671987415263258</v>
      </c>
      <c r="J82" s="1107">
        <f t="shared" si="24"/>
        <v>0.025943336598279573</v>
      </c>
    </row>
    <row r="83" spans="1:10" ht="12.75">
      <c r="A83" s="1094">
        <f>A82+1</f>
        <v>57</v>
      </c>
      <c r="B83" s="1042" t="str">
        <f>"Preferred Stock Capital Cost Rate (Ln "&amp;A67&amp;" * Ln "&amp;A78&amp;")"</f>
        <v>Preferred Stock Capital Cost Rate (Ln 47 * Ln 54)</v>
      </c>
      <c r="C83" s="1107">
        <f>C67*C78</f>
        <v>0</v>
      </c>
      <c r="D83" s="1107"/>
      <c r="E83" s="1107">
        <f aca="true" t="shared" si="25" ref="E83:J83">E67*E78</f>
        <v>0</v>
      </c>
      <c r="F83" s="1107">
        <f t="shared" si="25"/>
        <v>0</v>
      </c>
      <c r="G83" s="1107">
        <f t="shared" si="25"/>
        <v>0</v>
      </c>
      <c r="H83" s="1107">
        <f t="shared" si="25"/>
        <v>0</v>
      </c>
      <c r="I83" s="1107">
        <f t="shared" si="25"/>
        <v>0</v>
      </c>
      <c r="J83" s="1107">
        <f t="shared" si="25"/>
        <v>0</v>
      </c>
    </row>
    <row r="84" spans="1:10" ht="12.75">
      <c r="A84" s="1094">
        <f>A83+1</f>
        <v>58</v>
      </c>
      <c r="B84" s="1042" t="str">
        <f>"Common Equity Capital Cost Rate (Ln "&amp;A68&amp;" * Ln "&amp;A79&amp;")"</f>
        <v>Common Equity Capital Cost Rate (Ln 48 * Ln 55)</v>
      </c>
      <c r="C84" s="1110">
        <f>C68*C79</f>
        <v>0.053668889654220085</v>
      </c>
      <c r="D84" s="1110"/>
      <c r="E84" s="1110">
        <f aca="true" t="shared" si="26" ref="E84:J84">E68*E79</f>
        <v>0.0651234521492694</v>
      </c>
      <c r="F84" s="1110">
        <f t="shared" si="26"/>
        <v>0.04976561570044346</v>
      </c>
      <c r="G84" s="1110">
        <f t="shared" si="26"/>
        <v>0.06859380656274829</v>
      </c>
      <c r="H84" s="1110">
        <f t="shared" si="26"/>
        <v>0.05736133533691474</v>
      </c>
      <c r="I84" s="1110">
        <f t="shared" si="26"/>
        <v>0.06173364750287089</v>
      </c>
      <c r="J84" s="1110">
        <f t="shared" si="26"/>
        <v>0.056949369218294986</v>
      </c>
    </row>
    <row r="85" spans="1:10" ht="12.75">
      <c r="A85" s="1094">
        <f>A84+1</f>
        <v>59</v>
      </c>
      <c r="B85" s="1111" t="s">
        <v>795</v>
      </c>
      <c r="C85" s="1112">
        <f aca="true" t="shared" si="27" ref="C85:J85">SUM(C82:C84)</f>
        <v>0.07992107226054117</v>
      </c>
      <c r="D85" s="1112"/>
      <c r="E85" s="1112">
        <f t="shared" si="27"/>
        <v>0.08741823211185805</v>
      </c>
      <c r="F85" s="1112">
        <f t="shared" si="27"/>
        <v>0.0784758485982627</v>
      </c>
      <c r="G85" s="1112">
        <f t="shared" si="27"/>
        <v>0.0868099940593869</v>
      </c>
      <c r="H85" s="1112">
        <f t="shared" si="27"/>
        <v>0.08819306812808975</v>
      </c>
      <c r="I85" s="1112">
        <f t="shared" si="27"/>
        <v>0.07140563491813415</v>
      </c>
      <c r="J85" s="1112">
        <f t="shared" si="27"/>
        <v>0.08289270581657456</v>
      </c>
    </row>
    <row r="88" spans="1:10" ht="12.75">
      <c r="A88" s="1320" t="s">
        <v>774</v>
      </c>
      <c r="B88" s="1320"/>
      <c r="C88" s="1320"/>
      <c r="D88" s="1320"/>
      <c r="E88" s="1320"/>
      <c r="F88" s="1320"/>
      <c r="G88" s="1320"/>
      <c r="H88" s="1320"/>
      <c r="I88" s="1320"/>
      <c r="J88" s="1320"/>
    </row>
    <row r="89" spans="1:10" ht="12.75">
      <c r="A89" s="1320" t="str">
        <f>"Consolidation of Operating Companies Capital Structure @ December 31, 2016"</f>
        <v>Consolidation of Operating Companies Capital Structure @ December 31, 2016</v>
      </c>
      <c r="B89" s="1320"/>
      <c r="C89" s="1320"/>
      <c r="D89" s="1320"/>
      <c r="E89" s="1320"/>
      <c r="F89" s="1320"/>
      <c r="G89" s="1320"/>
      <c r="H89" s="1320"/>
      <c r="I89" s="1320"/>
      <c r="J89" s="1320"/>
    </row>
    <row r="90" spans="1:10" ht="15.75">
      <c r="A90" s="1318" t="s">
        <v>351</v>
      </c>
      <c r="B90" s="1318"/>
      <c r="C90" s="1318"/>
      <c r="D90" s="1318"/>
      <c r="E90" s="1318"/>
      <c r="F90" s="1318"/>
      <c r="G90" s="1318"/>
      <c r="H90" s="1318"/>
      <c r="I90" s="1318"/>
      <c r="J90" s="1318"/>
    </row>
    <row r="91" spans="2:10" ht="12.75">
      <c r="B91" s="1105"/>
      <c r="C91" s="1108"/>
      <c r="D91" s="1108"/>
      <c r="E91" s="1108"/>
      <c r="F91" s="1108"/>
      <c r="G91" s="1108"/>
      <c r="H91" s="1108"/>
      <c r="I91" s="1108"/>
      <c r="J91" s="1108"/>
    </row>
    <row r="92" spans="1:10" ht="63.75">
      <c r="A92" s="1094" t="s">
        <v>690</v>
      </c>
      <c r="C92" s="1095" t="s">
        <v>775</v>
      </c>
      <c r="D92" s="1095"/>
      <c r="E92" s="1095" t="s">
        <v>776</v>
      </c>
      <c r="F92" s="1095" t="s">
        <v>777</v>
      </c>
      <c r="G92" s="1095" t="s">
        <v>778</v>
      </c>
      <c r="H92" s="1095" t="s">
        <v>779</v>
      </c>
      <c r="I92" s="1095" t="s">
        <v>780</v>
      </c>
      <c r="J92" s="1095" t="s">
        <v>781</v>
      </c>
    </row>
    <row r="93" ht="15">
      <c r="A93" s="1001" t="s">
        <v>782</v>
      </c>
    </row>
    <row r="94" spans="1:10" ht="12.75">
      <c r="A94" s="1094">
        <f>A85+1</f>
        <v>60</v>
      </c>
      <c r="B94" s="1014" t="s">
        <v>564</v>
      </c>
      <c r="C94" s="1049">
        <v>367622368</v>
      </c>
      <c r="D94" s="1049"/>
      <c r="E94" s="1049">
        <v>0</v>
      </c>
      <c r="F94" s="1049">
        <v>0</v>
      </c>
      <c r="G94" s="1049">
        <v>0</v>
      </c>
      <c r="H94" s="1049">
        <v>0</v>
      </c>
      <c r="I94" s="1049">
        <v>0</v>
      </c>
      <c r="J94" s="977">
        <f>SUM(C94:I94)</f>
        <v>367622368</v>
      </c>
    </row>
    <row r="95" spans="1:10" ht="12.75">
      <c r="A95" s="1094">
        <f>A94+1</f>
        <v>61</v>
      </c>
      <c r="B95" s="1014" t="s">
        <v>565</v>
      </c>
      <c r="C95" s="1049">
        <v>0</v>
      </c>
      <c r="D95" s="1049"/>
      <c r="E95" s="1049">
        <v>40000000</v>
      </c>
      <c r="F95" s="1049">
        <v>0</v>
      </c>
      <c r="G95" s="1049">
        <v>0</v>
      </c>
      <c r="H95" s="1049">
        <v>345400000</v>
      </c>
      <c r="I95" s="1049">
        <v>0</v>
      </c>
      <c r="J95" s="977">
        <f>SUM(C95:I95)</f>
        <v>385400000</v>
      </c>
    </row>
    <row r="96" spans="1:10" ht="12.75">
      <c r="A96" s="1094">
        <f>A95+1</f>
        <v>62</v>
      </c>
      <c r="B96" s="1015" t="s">
        <v>78</v>
      </c>
      <c r="C96" s="1049">
        <v>86000000</v>
      </c>
      <c r="D96" s="1049"/>
      <c r="E96" s="1049">
        <v>0</v>
      </c>
      <c r="F96" s="1049">
        <v>0</v>
      </c>
      <c r="G96" s="1049">
        <v>20000000</v>
      </c>
      <c r="H96" s="1049">
        <v>0</v>
      </c>
      <c r="I96" s="1049">
        <v>25000000</v>
      </c>
      <c r="J96" s="977">
        <f>SUM(C96:I96)</f>
        <v>131000000</v>
      </c>
    </row>
    <row r="97" spans="1:10" ht="12.75">
      <c r="A97" s="1094">
        <f>A96+1</f>
        <v>63</v>
      </c>
      <c r="B97" s="1015" t="s">
        <v>72</v>
      </c>
      <c r="C97" s="1049">
        <v>3534821976</v>
      </c>
      <c r="D97" s="1049"/>
      <c r="E97" s="1049">
        <f>1894409940-265502031</f>
        <v>1628907909</v>
      </c>
      <c r="F97" s="1049">
        <v>820000000</v>
      </c>
      <c r="G97" s="1049">
        <v>0</v>
      </c>
      <c r="H97" s="1049">
        <v>2415019994</v>
      </c>
      <c r="I97" s="1049">
        <v>0</v>
      </c>
      <c r="J97" s="977">
        <f>SUM(C97:I97)</f>
        <v>8398749879</v>
      </c>
    </row>
    <row r="98" spans="1:10" ht="12.75">
      <c r="A98" s="1094">
        <f>A97+1</f>
        <v>64</v>
      </c>
      <c r="B98" s="1015" t="str">
        <f>"Less: Fair Value Hedges (See Note on Ln "&amp;A101&amp;" below)"</f>
        <v>Less: Fair Value Hedges (See Note on Ln 66 below)</v>
      </c>
      <c r="C98" s="308">
        <v>0</v>
      </c>
      <c r="D98" s="308"/>
      <c r="E98" s="308">
        <v>0</v>
      </c>
      <c r="F98" s="308">
        <v>0</v>
      </c>
      <c r="G98" s="308">
        <v>0</v>
      </c>
      <c r="H98" s="308">
        <v>0</v>
      </c>
      <c r="I98" s="308">
        <v>0</v>
      </c>
      <c r="J98" s="1096">
        <f>SUM(C98:I98)</f>
        <v>0</v>
      </c>
    </row>
    <row r="99" spans="1:10" ht="12.75">
      <c r="A99" s="1094">
        <f>A98+1</f>
        <v>65</v>
      </c>
      <c r="B99" s="1017" t="s">
        <v>110</v>
      </c>
      <c r="C99" s="1097">
        <f aca="true" t="shared" si="28" ref="C99:J99">C94-C95+C96+C97-C98</f>
        <v>3988444344</v>
      </c>
      <c r="D99" s="1097"/>
      <c r="E99" s="1097">
        <f t="shared" si="28"/>
        <v>1588907909</v>
      </c>
      <c r="F99" s="1097">
        <f t="shared" si="28"/>
        <v>820000000</v>
      </c>
      <c r="G99" s="1097">
        <f t="shared" si="28"/>
        <v>20000000</v>
      </c>
      <c r="H99" s="1097">
        <f t="shared" si="28"/>
        <v>2069619994</v>
      </c>
      <c r="I99" s="1097">
        <f t="shared" si="28"/>
        <v>25000000</v>
      </c>
      <c r="J99" s="1097">
        <f t="shared" si="28"/>
        <v>8511972247</v>
      </c>
    </row>
    <row r="101" spans="1:10" ht="12.75">
      <c r="A101" s="1094">
        <f>A99+1</f>
        <v>66</v>
      </c>
      <c r="B101" s="1319" t="s">
        <v>109</v>
      </c>
      <c r="C101" s="1319"/>
      <c r="D101" s="1319"/>
      <c r="E101" s="1319"/>
      <c r="F101" s="1319"/>
      <c r="G101" s="1319"/>
      <c r="H101" s="1319"/>
      <c r="I101" s="1319"/>
      <c r="J101" s="1319"/>
    </row>
    <row r="102" spans="2:10" ht="12.75">
      <c r="B102" s="1098"/>
      <c r="C102" s="1098"/>
      <c r="D102" s="1098"/>
      <c r="E102" s="1098"/>
      <c r="F102" s="1098"/>
      <c r="G102" s="1098"/>
      <c r="H102" s="1098"/>
      <c r="I102" s="1098"/>
      <c r="J102" s="1098"/>
    </row>
    <row r="103" ht="15">
      <c r="A103" s="1001" t="s">
        <v>783</v>
      </c>
    </row>
    <row r="104" spans="1:10" ht="12.75">
      <c r="A104" s="1094">
        <f>A101+1</f>
        <v>67</v>
      </c>
      <c r="B104" s="1014" t="s">
        <v>567</v>
      </c>
      <c r="C104" s="304">
        <v>198433109</v>
      </c>
      <c r="D104" s="304"/>
      <c r="E104" s="304">
        <v>82484400</v>
      </c>
      <c r="F104" s="304">
        <v>38642264</v>
      </c>
      <c r="G104" s="304">
        <v>904000</v>
      </c>
      <c r="H104" s="304">
        <v>121704036</v>
      </c>
      <c r="I104" s="304">
        <v>1312500</v>
      </c>
      <c r="J104" s="865">
        <f aca="true" t="shared" si="29" ref="J104:J109">SUM(C104:I104)</f>
        <v>443480309</v>
      </c>
    </row>
    <row r="105" spans="1:10" ht="12.75">
      <c r="A105" s="1094">
        <f aca="true" t="shared" si="30" ref="A105:A110">A104+1</f>
        <v>68</v>
      </c>
      <c r="B105" s="1014" t="s">
        <v>556</v>
      </c>
      <c r="C105" s="304">
        <v>3105002</v>
      </c>
      <c r="D105" s="304"/>
      <c r="E105" s="304">
        <v>2188650</v>
      </c>
      <c r="F105" s="304">
        <v>517866</v>
      </c>
      <c r="G105" s="304">
        <v>0</v>
      </c>
      <c r="H105" s="304">
        <v>1580870</v>
      </c>
      <c r="I105" s="304">
        <v>0</v>
      </c>
      <c r="J105" s="865">
        <f t="shared" si="29"/>
        <v>7392388</v>
      </c>
    </row>
    <row r="106" spans="1:10" ht="12.75">
      <c r="A106" s="1094">
        <f t="shared" si="30"/>
        <v>69</v>
      </c>
      <c r="B106" s="1014" t="s">
        <v>557</v>
      </c>
      <c r="C106" s="304">
        <v>7213006</v>
      </c>
      <c r="D106" s="304"/>
      <c r="E106" s="304">
        <v>8235783</v>
      </c>
      <c r="F106" s="304">
        <v>33635</v>
      </c>
      <c r="G106" s="304">
        <v>0</v>
      </c>
      <c r="H106" s="304">
        <v>1338683</v>
      </c>
      <c r="I106" s="304">
        <v>0</v>
      </c>
      <c r="J106" s="865">
        <f t="shared" si="29"/>
        <v>16821107</v>
      </c>
    </row>
    <row r="107" spans="1:10" ht="12.75">
      <c r="A107" s="1094">
        <f t="shared" si="30"/>
        <v>70</v>
      </c>
      <c r="B107" s="1014" t="s">
        <v>558</v>
      </c>
      <c r="C107" s="1049">
        <v>0</v>
      </c>
      <c r="D107" s="1049"/>
      <c r="E107" s="1049">
        <v>0</v>
      </c>
      <c r="F107" s="1049">
        <v>0</v>
      </c>
      <c r="G107" s="1049">
        <v>0</v>
      </c>
      <c r="H107" s="1049">
        <v>0</v>
      </c>
      <c r="I107" s="1049">
        <v>0</v>
      </c>
      <c r="J107" s="977">
        <f t="shared" si="29"/>
        <v>0</v>
      </c>
    </row>
    <row r="108" spans="1:10" ht="12.75">
      <c r="A108" s="1094">
        <f t="shared" si="30"/>
        <v>71</v>
      </c>
      <c r="B108" s="1014" t="s">
        <v>559</v>
      </c>
      <c r="C108" s="1049">
        <v>0</v>
      </c>
      <c r="D108" s="1049"/>
      <c r="E108" s="1049">
        <v>1712</v>
      </c>
      <c r="F108" s="1049">
        <v>0</v>
      </c>
      <c r="G108" s="1049">
        <v>0</v>
      </c>
      <c r="H108" s="1049">
        <v>0</v>
      </c>
      <c r="I108" s="1049">
        <v>0</v>
      </c>
      <c r="J108" s="977">
        <f t="shared" si="29"/>
        <v>1712</v>
      </c>
    </row>
    <row r="109" spans="1:10" ht="12.75">
      <c r="A109" s="1094">
        <f t="shared" si="30"/>
        <v>72</v>
      </c>
      <c r="B109" s="1099" t="s">
        <v>784</v>
      </c>
      <c r="C109" s="308">
        <f>826212-1131432+445765+1336324-238880+37068-194198+159672</f>
        <v>1240531</v>
      </c>
      <c r="D109" s="308"/>
      <c r="E109" s="308">
        <f>768109-383570+421740</f>
        <v>806279</v>
      </c>
      <c r="F109" s="308">
        <v>92956</v>
      </c>
      <c r="G109" s="308">
        <v>0</v>
      </c>
      <c r="H109" s="308">
        <f>-418450-1679213</f>
        <v>-2097663</v>
      </c>
      <c r="I109" s="308">
        <v>0</v>
      </c>
      <c r="J109" s="1096">
        <f t="shared" si="29"/>
        <v>42103</v>
      </c>
    </row>
    <row r="110" spans="1:10" ht="12.75">
      <c r="A110" s="1094">
        <f t="shared" si="30"/>
        <v>73</v>
      </c>
      <c r="B110" s="1100" t="s">
        <v>111</v>
      </c>
      <c r="C110" s="1101">
        <f aca="true" t="shared" si="31" ref="C110:J110">C104+C105+C106-C107-C108-C109</f>
        <v>207510586</v>
      </c>
      <c r="D110" s="1101"/>
      <c r="E110" s="1101">
        <f t="shared" si="31"/>
        <v>92100842</v>
      </c>
      <c r="F110" s="1101">
        <f t="shared" si="31"/>
        <v>39100809</v>
      </c>
      <c r="G110" s="1101">
        <f t="shared" si="31"/>
        <v>904000</v>
      </c>
      <c r="H110" s="1101">
        <f t="shared" si="31"/>
        <v>126721252</v>
      </c>
      <c r="I110" s="1101">
        <f t="shared" si="31"/>
        <v>1312500</v>
      </c>
      <c r="J110" s="1101">
        <f t="shared" si="31"/>
        <v>467649989</v>
      </c>
    </row>
    <row r="112" spans="1:5" ht="15">
      <c r="A112" s="1001" t="s">
        <v>785</v>
      </c>
      <c r="B112" s="1102"/>
      <c r="C112" s="1102"/>
      <c r="D112" s="1102"/>
      <c r="E112" s="1102"/>
    </row>
    <row r="113" spans="1:10" ht="12.75">
      <c r="A113" s="1094">
        <f>A110+1</f>
        <v>74</v>
      </c>
      <c r="B113" s="1011" t="s">
        <v>786</v>
      </c>
      <c r="C113" s="1054">
        <v>0.045</v>
      </c>
      <c r="D113" s="1125"/>
      <c r="E113" s="1126">
        <v>0.04125</v>
      </c>
      <c r="F113" s="1125"/>
      <c r="G113" s="1125"/>
      <c r="H113" s="1054">
        <v>0.0408</v>
      </c>
      <c r="I113" s="1125"/>
      <c r="J113" s="1103"/>
    </row>
    <row r="114" spans="1:10" ht="12.75">
      <c r="A114" s="1094">
        <f>A113+1</f>
        <v>75</v>
      </c>
      <c r="B114" s="1011" t="s">
        <v>787</v>
      </c>
      <c r="C114" s="1055">
        <v>100</v>
      </c>
      <c r="D114" s="1127"/>
      <c r="E114" s="1055">
        <v>100</v>
      </c>
      <c r="F114" s="1127"/>
      <c r="G114" s="1127"/>
      <c r="H114" s="1055">
        <v>100</v>
      </c>
      <c r="I114" s="1127"/>
      <c r="J114" s="1104"/>
    </row>
    <row r="115" spans="1:9" ht="12.75">
      <c r="A115" s="1094">
        <f>A114+1</f>
        <v>76</v>
      </c>
      <c r="B115" s="1011" t="s">
        <v>788</v>
      </c>
      <c r="C115" s="304">
        <v>0</v>
      </c>
      <c r="D115" s="991"/>
      <c r="E115" s="304">
        <v>0</v>
      </c>
      <c r="F115" s="991"/>
      <c r="G115" s="991"/>
      <c r="H115" s="304">
        <v>0</v>
      </c>
      <c r="I115" s="991"/>
    </row>
    <row r="116" spans="1:10" ht="12.75">
      <c r="A116" s="1094">
        <f>A115+1</f>
        <v>77</v>
      </c>
      <c r="B116" s="1011" t="str">
        <f>"Monetary Value (Ln "&amp;A114&amp;" * Ln "&amp;A115&amp;")"</f>
        <v>Monetary Value (Ln 75 * Ln 76)</v>
      </c>
      <c r="C116" s="1037">
        <f aca="true" t="shared" si="32" ref="C116:I116">C114*C115</f>
        <v>0</v>
      </c>
      <c r="D116" s="1037"/>
      <c r="E116" s="1037">
        <f t="shared" si="32"/>
        <v>0</v>
      </c>
      <c r="F116" s="1037">
        <f t="shared" si="32"/>
        <v>0</v>
      </c>
      <c r="G116" s="1037">
        <f t="shared" si="32"/>
        <v>0</v>
      </c>
      <c r="H116" s="1037">
        <f t="shared" si="32"/>
        <v>0</v>
      </c>
      <c r="I116" s="1037">
        <f t="shared" si="32"/>
        <v>0</v>
      </c>
      <c r="J116" s="1101">
        <f>SUM(C116:I116)</f>
        <v>0</v>
      </c>
    </row>
    <row r="117" spans="1:10" ht="12.75">
      <c r="A117" s="1094">
        <f>A116+1</f>
        <v>78</v>
      </c>
      <c r="B117" s="1011" t="str">
        <f>"Dividend Amount (Ln "&amp;A113&amp;" * Ln "&amp;A116&amp;")"</f>
        <v>Dividend Amount (Ln 74 * Ln 77)</v>
      </c>
      <c r="C117" s="1037">
        <f aca="true" t="shared" si="33" ref="C117:I117">C116*C113</f>
        <v>0</v>
      </c>
      <c r="D117" s="1037"/>
      <c r="E117" s="1037">
        <f t="shared" si="33"/>
        <v>0</v>
      </c>
      <c r="F117" s="1037">
        <f t="shared" si="33"/>
        <v>0</v>
      </c>
      <c r="G117" s="1037">
        <f t="shared" si="33"/>
        <v>0</v>
      </c>
      <c r="H117" s="1037">
        <f t="shared" si="33"/>
        <v>0</v>
      </c>
      <c r="I117" s="1037">
        <f t="shared" si="33"/>
        <v>0</v>
      </c>
      <c r="J117" s="1101">
        <f>SUM(C117:I117)</f>
        <v>0</v>
      </c>
    </row>
    <row r="119" spans="1:9" ht="12.75">
      <c r="A119" s="1094">
        <f>A117+1</f>
        <v>79</v>
      </c>
      <c r="B119" s="1011" t="s">
        <v>786</v>
      </c>
      <c r="C119" s="1054"/>
      <c r="D119" s="1125"/>
      <c r="E119" s="1126">
        <v>0.0412</v>
      </c>
      <c r="F119" s="1125"/>
      <c r="G119" s="1125"/>
      <c r="H119" s="1054">
        <v>0.042</v>
      </c>
      <c r="I119" s="1125"/>
    </row>
    <row r="120" spans="1:9" ht="12.75">
      <c r="A120" s="1094">
        <f>A119+1</f>
        <v>80</v>
      </c>
      <c r="B120" s="1011" t="s">
        <v>787</v>
      </c>
      <c r="C120" s="1055"/>
      <c r="D120" s="1127"/>
      <c r="E120" s="1055">
        <v>100</v>
      </c>
      <c r="F120" s="1127"/>
      <c r="G120" s="1127"/>
      <c r="H120" s="1055">
        <v>100</v>
      </c>
      <c r="I120" s="1127"/>
    </row>
    <row r="121" spans="1:9" ht="12.75">
      <c r="A121" s="1094">
        <f>A120+1</f>
        <v>81</v>
      </c>
      <c r="B121" s="1011" t="s">
        <v>788</v>
      </c>
      <c r="C121" s="304"/>
      <c r="D121" s="991"/>
      <c r="E121" s="304">
        <v>0</v>
      </c>
      <c r="F121" s="991"/>
      <c r="G121" s="991"/>
      <c r="H121" s="304">
        <v>0</v>
      </c>
      <c r="I121" s="991"/>
    </row>
    <row r="122" spans="1:10" ht="12.75">
      <c r="A122" s="1094">
        <f>A121+1</f>
        <v>82</v>
      </c>
      <c r="B122" s="1011" t="str">
        <f>"Monetary Value (Ln "&amp;A120&amp;" * Ln "&amp;A121&amp;")"</f>
        <v>Monetary Value (Ln 80 * Ln 81)</v>
      </c>
      <c r="C122" s="1037">
        <f aca="true" t="shared" si="34" ref="C122:I122">C120*C121</f>
        <v>0</v>
      </c>
      <c r="D122" s="1037"/>
      <c r="E122" s="1037">
        <f t="shared" si="34"/>
        <v>0</v>
      </c>
      <c r="F122" s="1037">
        <f t="shared" si="34"/>
        <v>0</v>
      </c>
      <c r="G122" s="1037">
        <f t="shared" si="34"/>
        <v>0</v>
      </c>
      <c r="H122" s="1037">
        <f t="shared" si="34"/>
        <v>0</v>
      </c>
      <c r="I122" s="1037">
        <f t="shared" si="34"/>
        <v>0</v>
      </c>
      <c r="J122" s="1101">
        <f>SUM(C122:I122)</f>
        <v>0</v>
      </c>
    </row>
    <row r="123" spans="1:10" ht="12.75">
      <c r="A123" s="1094">
        <f>A122+1</f>
        <v>83</v>
      </c>
      <c r="B123" s="1011" t="str">
        <f>"Dividend Amount (Ln "&amp;A119&amp;" * Ln "&amp;A122&amp;")"</f>
        <v>Dividend Amount (Ln 79 * Ln 82)</v>
      </c>
      <c r="C123" s="1037">
        <f aca="true" t="shared" si="35" ref="C123:I123">C122*C119</f>
        <v>0</v>
      </c>
      <c r="D123" s="1037"/>
      <c r="E123" s="1037">
        <f t="shared" si="35"/>
        <v>0</v>
      </c>
      <c r="F123" s="1037">
        <f t="shared" si="35"/>
        <v>0</v>
      </c>
      <c r="G123" s="1037">
        <f t="shared" si="35"/>
        <v>0</v>
      </c>
      <c r="H123" s="1037">
        <f t="shared" si="35"/>
        <v>0</v>
      </c>
      <c r="I123" s="1037">
        <f t="shared" si="35"/>
        <v>0</v>
      </c>
      <c r="J123" s="1101">
        <f>SUM(C123:I123)</f>
        <v>0</v>
      </c>
    </row>
    <row r="125" spans="1:9" ht="12.75">
      <c r="A125" s="1094">
        <f>A123+1</f>
        <v>84</v>
      </c>
      <c r="B125" s="1011" t="s">
        <v>786</v>
      </c>
      <c r="C125" s="1054"/>
      <c r="D125" s="1125"/>
      <c r="E125" s="1126">
        <v>0.0456</v>
      </c>
      <c r="F125" s="1125"/>
      <c r="G125" s="1125"/>
      <c r="H125" s="1054">
        <v>0.044</v>
      </c>
      <c r="I125" s="1125"/>
    </row>
    <row r="126" spans="1:9" ht="12.75">
      <c r="A126" s="1094">
        <f>A125+1</f>
        <v>85</v>
      </c>
      <c r="B126" s="1011" t="s">
        <v>787</v>
      </c>
      <c r="C126" s="1055"/>
      <c r="D126" s="1127"/>
      <c r="E126" s="1055">
        <v>100</v>
      </c>
      <c r="F126" s="1127"/>
      <c r="G126" s="1127"/>
      <c r="H126" s="1055">
        <v>100</v>
      </c>
      <c r="I126" s="1127"/>
    </row>
    <row r="127" spans="1:9" ht="12.75">
      <c r="A127" s="1094">
        <f>A126+1</f>
        <v>86</v>
      </c>
      <c r="B127" s="1011" t="s">
        <v>788</v>
      </c>
      <c r="C127" s="304"/>
      <c r="D127" s="991"/>
      <c r="E127" s="304">
        <v>0</v>
      </c>
      <c r="F127" s="991"/>
      <c r="G127" s="991"/>
      <c r="H127" s="304">
        <v>0</v>
      </c>
      <c r="I127" s="991"/>
    </row>
    <row r="128" spans="1:10" ht="12.75">
      <c r="A128" s="1094">
        <f>A127+1</f>
        <v>87</v>
      </c>
      <c r="B128" s="1011" t="str">
        <f>"Monetary Value (Ln "&amp;A126&amp;" * Ln "&amp;A127&amp;")"</f>
        <v>Monetary Value (Ln 85 * Ln 86)</v>
      </c>
      <c r="C128" s="1037">
        <f aca="true" t="shared" si="36" ref="C128:I128">C126*C127</f>
        <v>0</v>
      </c>
      <c r="D128" s="1037"/>
      <c r="E128" s="1037">
        <f t="shared" si="36"/>
        <v>0</v>
      </c>
      <c r="F128" s="1037">
        <f t="shared" si="36"/>
        <v>0</v>
      </c>
      <c r="G128" s="1037">
        <f t="shared" si="36"/>
        <v>0</v>
      </c>
      <c r="H128" s="1037">
        <f t="shared" si="36"/>
        <v>0</v>
      </c>
      <c r="I128" s="1037">
        <f t="shared" si="36"/>
        <v>0</v>
      </c>
      <c r="J128" s="1101">
        <f>SUM(C128:I128)</f>
        <v>0</v>
      </c>
    </row>
    <row r="129" spans="1:10" ht="12.75">
      <c r="A129" s="1094">
        <f>A128+1</f>
        <v>88</v>
      </c>
      <c r="B129" s="1011" t="str">
        <f>"Dividend Amount (Ln "&amp;A125&amp;" * Ln "&amp;A128&amp;")"</f>
        <v>Dividend Amount (Ln 84 * Ln 87)</v>
      </c>
      <c r="C129" s="1037">
        <f aca="true" t="shared" si="37" ref="C129:I129">C128*C125</f>
        <v>0</v>
      </c>
      <c r="D129" s="1037"/>
      <c r="E129" s="1037">
        <f t="shared" si="37"/>
        <v>0</v>
      </c>
      <c r="F129" s="1037">
        <f t="shared" si="37"/>
        <v>0</v>
      </c>
      <c r="G129" s="1037">
        <f t="shared" si="37"/>
        <v>0</v>
      </c>
      <c r="H129" s="1037">
        <f t="shared" si="37"/>
        <v>0</v>
      </c>
      <c r="I129" s="1037">
        <f t="shared" si="37"/>
        <v>0</v>
      </c>
      <c r="J129" s="1101">
        <f>SUM(C129:I129)</f>
        <v>0</v>
      </c>
    </row>
    <row r="131" spans="1:9" ht="12.75">
      <c r="A131" s="1094">
        <f>A129+1</f>
        <v>89</v>
      </c>
      <c r="B131" s="1011" t="s">
        <v>786</v>
      </c>
      <c r="C131" s="1054"/>
      <c r="D131" s="1125"/>
      <c r="E131" s="1126"/>
      <c r="F131" s="1125"/>
      <c r="G131" s="1125"/>
      <c r="H131" s="1054">
        <v>0.045</v>
      </c>
      <c r="I131" s="1125"/>
    </row>
    <row r="132" spans="1:9" ht="12.75">
      <c r="A132" s="1094">
        <f>A131+1</f>
        <v>90</v>
      </c>
      <c r="B132" s="1011" t="s">
        <v>787</v>
      </c>
      <c r="C132" s="1055"/>
      <c r="D132" s="1127"/>
      <c r="E132" s="1055"/>
      <c r="F132" s="1127"/>
      <c r="G132" s="1127"/>
      <c r="H132" s="1055">
        <v>100</v>
      </c>
      <c r="I132" s="1127"/>
    </row>
    <row r="133" spans="1:9" ht="12.75">
      <c r="A133" s="1094">
        <f>A132+1</f>
        <v>91</v>
      </c>
      <c r="B133" s="1011" t="s">
        <v>788</v>
      </c>
      <c r="C133" s="304"/>
      <c r="D133" s="991"/>
      <c r="E133" s="304"/>
      <c r="F133" s="991"/>
      <c r="G133" s="991"/>
      <c r="H133" s="304">
        <v>0</v>
      </c>
      <c r="I133" s="991"/>
    </row>
    <row r="134" spans="1:10" ht="12.75">
      <c r="A134" s="1094">
        <f>A133+1</f>
        <v>92</v>
      </c>
      <c r="B134" s="1011" t="str">
        <f>"Monetary Value (Ln "&amp;A132&amp;" * Ln "&amp;A133&amp;")"</f>
        <v>Monetary Value (Ln 90 * Ln 91)</v>
      </c>
      <c r="C134" s="1037">
        <f aca="true" t="shared" si="38" ref="C134:I134">C132*C133</f>
        <v>0</v>
      </c>
      <c r="D134" s="1037"/>
      <c r="E134" s="1037">
        <f t="shared" si="38"/>
        <v>0</v>
      </c>
      <c r="F134" s="1037">
        <f t="shared" si="38"/>
        <v>0</v>
      </c>
      <c r="G134" s="1037">
        <f t="shared" si="38"/>
        <v>0</v>
      </c>
      <c r="H134" s="1037">
        <f t="shared" si="38"/>
        <v>0</v>
      </c>
      <c r="I134" s="1037">
        <f t="shared" si="38"/>
        <v>0</v>
      </c>
      <c r="J134" s="1101">
        <f>SUM(C134:I134)</f>
        <v>0</v>
      </c>
    </row>
    <row r="135" spans="1:10" ht="12.75">
      <c r="A135" s="1094">
        <f>A134+1</f>
        <v>93</v>
      </c>
      <c r="B135" s="1011" t="str">
        <f>"Dividend Amount (Ln "&amp;A131&amp;" * Ln "&amp;A134&amp;")"</f>
        <v>Dividend Amount (Ln 89 * Ln 92)</v>
      </c>
      <c r="C135" s="1037">
        <f aca="true" t="shared" si="39" ref="C135:I135">C134*C131</f>
        <v>0</v>
      </c>
      <c r="D135" s="1037"/>
      <c r="E135" s="1037">
        <f t="shared" si="39"/>
        <v>0</v>
      </c>
      <c r="F135" s="1037">
        <f t="shared" si="39"/>
        <v>0</v>
      </c>
      <c r="G135" s="1037">
        <f t="shared" si="39"/>
        <v>0</v>
      </c>
      <c r="H135" s="1037">
        <f t="shared" si="39"/>
        <v>0</v>
      </c>
      <c r="I135" s="1037">
        <f t="shared" si="39"/>
        <v>0</v>
      </c>
      <c r="J135" s="1101">
        <f>SUM(C135:I135)</f>
        <v>0</v>
      </c>
    </row>
    <row r="136" ht="12.75">
      <c r="B136" s="1011"/>
    </row>
    <row r="137" spans="1:10" ht="12.75">
      <c r="A137" s="1094">
        <f>A135+1</f>
        <v>94</v>
      </c>
      <c r="B137" s="1003" t="str">
        <f>"Preferred Stock (Lns "&amp;A116&amp;", "&amp;A122&amp;", "&amp;A128&amp;","&amp;A134&amp;")"</f>
        <v>Preferred Stock (Lns 77, 82, 87,92)</v>
      </c>
      <c r="C137" s="1101">
        <f aca="true" t="shared" si="40" ref="C137:I138">C116+C122+C128+C134</f>
        <v>0</v>
      </c>
      <c r="D137" s="1101"/>
      <c r="E137" s="1101">
        <f t="shared" si="40"/>
        <v>0</v>
      </c>
      <c r="F137" s="1101">
        <f t="shared" si="40"/>
        <v>0</v>
      </c>
      <c r="G137" s="1101">
        <f t="shared" si="40"/>
        <v>0</v>
      </c>
      <c r="H137" s="1101">
        <f t="shared" si="40"/>
        <v>0</v>
      </c>
      <c r="I137" s="1101">
        <f t="shared" si="40"/>
        <v>0</v>
      </c>
      <c r="J137" s="1101">
        <f>SUM(C137:I137)</f>
        <v>0</v>
      </c>
    </row>
    <row r="138" spans="1:10" ht="12.75">
      <c r="A138" s="1094">
        <f>A137+1</f>
        <v>95</v>
      </c>
      <c r="B138" s="1003" t="str">
        <f>"Preferred Dividends (Lns "&amp;A117&amp;", "&amp;A123&amp;", "&amp;A129&amp;","&amp;A135&amp;")"</f>
        <v>Preferred Dividends (Lns 78, 83, 88,93)</v>
      </c>
      <c r="C138" s="1101">
        <f t="shared" si="40"/>
        <v>0</v>
      </c>
      <c r="D138" s="1101"/>
      <c r="E138" s="1101">
        <f t="shared" si="40"/>
        <v>0</v>
      </c>
      <c r="F138" s="1101">
        <f t="shared" si="40"/>
        <v>0</v>
      </c>
      <c r="G138" s="1101">
        <f t="shared" si="40"/>
        <v>0</v>
      </c>
      <c r="H138" s="1101">
        <f t="shared" si="40"/>
        <v>0</v>
      </c>
      <c r="I138" s="1101">
        <f t="shared" si="40"/>
        <v>0</v>
      </c>
      <c r="J138" s="1101">
        <f>SUM(C138:I138)</f>
        <v>0</v>
      </c>
    </row>
    <row r="139" ht="12.75">
      <c r="B139" s="1105"/>
    </row>
    <row r="140" ht="15">
      <c r="A140" s="1001" t="s">
        <v>789</v>
      </c>
    </row>
    <row r="141" spans="1:10" ht="12.75">
      <c r="A141" s="1094">
        <f>A138+1</f>
        <v>96</v>
      </c>
      <c r="B141" s="800" t="s">
        <v>790</v>
      </c>
      <c r="C141" s="304">
        <v>3366927928</v>
      </c>
      <c r="D141" s="304"/>
      <c r="E141" s="304">
        <v>1953950018</v>
      </c>
      <c r="F141" s="304">
        <v>663642997</v>
      </c>
      <c r="G141" s="304">
        <v>31277290</v>
      </c>
      <c r="H141" s="304">
        <v>1980209844</v>
      </c>
      <c r="I141" s="304">
        <v>98472987</v>
      </c>
      <c r="J141" s="1101">
        <f>SUM(C141:I141)</f>
        <v>8094481064</v>
      </c>
    </row>
    <row r="142" spans="1:10" ht="12.75">
      <c r="A142" s="1094">
        <f>A141+1</f>
        <v>97</v>
      </c>
      <c r="B142" s="800" t="str">
        <f>"Less: Preferred Stock (Ln "&amp;A137&amp;" Above)"</f>
        <v>Less: Preferred Stock (Ln 94 Above)</v>
      </c>
      <c r="C142" s="865">
        <f>C137</f>
        <v>0</v>
      </c>
      <c r="D142" s="865"/>
      <c r="E142" s="865">
        <f>E137</f>
        <v>0</v>
      </c>
      <c r="F142" s="865">
        <f>F137</f>
        <v>0</v>
      </c>
      <c r="G142" s="865">
        <f>G137</f>
        <v>0</v>
      </c>
      <c r="H142" s="865">
        <f>H137</f>
        <v>0</v>
      </c>
      <c r="I142" s="865">
        <f>I137</f>
        <v>0</v>
      </c>
      <c r="J142" s="1101">
        <f>SUM(C142:I142)</f>
        <v>0</v>
      </c>
    </row>
    <row r="143" spans="1:10" ht="12.75">
      <c r="A143" s="1094">
        <f>A142+1</f>
        <v>98</v>
      </c>
      <c r="B143" s="800" t="s">
        <v>791</v>
      </c>
      <c r="C143" s="1049">
        <v>1649787</v>
      </c>
      <c r="D143" s="1049"/>
      <c r="E143" s="1049">
        <v>-33162</v>
      </c>
      <c r="F143" s="1049">
        <v>0</v>
      </c>
      <c r="G143" s="1049">
        <v>0</v>
      </c>
      <c r="H143" s="1049">
        <v>4915704</v>
      </c>
      <c r="I143" s="1049">
        <v>0</v>
      </c>
      <c r="J143" s="1101">
        <f>SUM(C143:I143)</f>
        <v>6532329</v>
      </c>
    </row>
    <row r="144" spans="1:10" ht="12.75">
      <c r="A144" s="1094">
        <f>A143+1</f>
        <v>99</v>
      </c>
      <c r="B144" s="800" t="s">
        <v>792</v>
      </c>
      <c r="C144" s="308">
        <v>5031962</v>
      </c>
      <c r="D144" s="308"/>
      <c r="E144" s="308">
        <v>-14359735</v>
      </c>
      <c r="F144" s="308">
        <v>-7335603</v>
      </c>
      <c r="G144" s="308">
        <v>0</v>
      </c>
      <c r="H144" s="308">
        <v>5601842</v>
      </c>
      <c r="I144" s="308">
        <v>772181</v>
      </c>
      <c r="J144" s="1106">
        <f>SUM(C144:I144)</f>
        <v>-10289353</v>
      </c>
    </row>
    <row r="145" spans="1:10" ht="12.75">
      <c r="A145" s="1094">
        <f>A144+1</f>
        <v>100</v>
      </c>
      <c r="B145" s="1008" t="s">
        <v>793</v>
      </c>
      <c r="C145" s="977">
        <f aca="true" t="shared" si="41" ref="C145:J145">C141-C142-C143-C144</f>
        <v>3360246179</v>
      </c>
      <c r="D145" s="977"/>
      <c r="E145" s="977">
        <f t="shared" si="41"/>
        <v>1968342915</v>
      </c>
      <c r="F145" s="977">
        <f t="shared" si="41"/>
        <v>670978600</v>
      </c>
      <c r="G145" s="977">
        <f t="shared" si="41"/>
        <v>31277290</v>
      </c>
      <c r="H145" s="977">
        <f t="shared" si="41"/>
        <v>1969692298</v>
      </c>
      <c r="I145" s="977">
        <f t="shared" si="41"/>
        <v>97700806</v>
      </c>
      <c r="J145" s="977">
        <f t="shared" si="41"/>
        <v>8098238088</v>
      </c>
    </row>
    <row r="147" ht="15">
      <c r="A147" s="1001" t="s">
        <v>794</v>
      </c>
    </row>
    <row r="148" spans="1:10" ht="12.75">
      <c r="A148" s="1094">
        <f>A145+1</f>
        <v>101</v>
      </c>
      <c r="B148" s="1042" t="str">
        <f>"Long Term Debt (Ln "&amp;A99&amp;" Above)"</f>
        <v>Long Term Debt (Ln 65 Above)</v>
      </c>
      <c r="C148" s="1101">
        <f aca="true" t="shared" si="42" ref="C148:J148">C99</f>
        <v>3988444344</v>
      </c>
      <c r="D148" s="1101"/>
      <c r="E148" s="1101">
        <f t="shared" si="42"/>
        <v>1588907909</v>
      </c>
      <c r="F148" s="1101">
        <f t="shared" si="42"/>
        <v>820000000</v>
      </c>
      <c r="G148" s="1101">
        <f t="shared" si="42"/>
        <v>20000000</v>
      </c>
      <c r="H148" s="1101">
        <f t="shared" si="42"/>
        <v>2069619994</v>
      </c>
      <c r="I148" s="1101">
        <f t="shared" si="42"/>
        <v>25000000</v>
      </c>
      <c r="J148" s="1101">
        <f t="shared" si="42"/>
        <v>8511972247</v>
      </c>
    </row>
    <row r="149" spans="1:10" ht="12.75">
      <c r="A149" s="1094">
        <f>A148+1</f>
        <v>102</v>
      </c>
      <c r="B149" s="1042" t="str">
        <f>"Preferred Stock (Ln "&amp;A137&amp;" Above)"</f>
        <v>Preferred Stock (Ln 94 Above)</v>
      </c>
      <c r="C149" s="1101">
        <f aca="true" t="shared" si="43" ref="C149:J149">C137</f>
        <v>0</v>
      </c>
      <c r="D149" s="1101"/>
      <c r="E149" s="1101">
        <f t="shared" si="43"/>
        <v>0</v>
      </c>
      <c r="F149" s="1101">
        <f t="shared" si="43"/>
        <v>0</v>
      </c>
      <c r="G149" s="1101">
        <f t="shared" si="43"/>
        <v>0</v>
      </c>
      <c r="H149" s="1101">
        <f t="shared" si="43"/>
        <v>0</v>
      </c>
      <c r="I149" s="1101">
        <f t="shared" si="43"/>
        <v>0</v>
      </c>
      <c r="J149" s="1101">
        <f t="shared" si="43"/>
        <v>0</v>
      </c>
    </row>
    <row r="150" spans="1:10" ht="12.75">
      <c r="A150" s="1094">
        <f>A149+1</f>
        <v>103</v>
      </c>
      <c r="B150" s="1042" t="str">
        <f>"Common Equity (Ln "&amp;A145&amp;" Above)"</f>
        <v>Common Equity (Ln 100 Above)</v>
      </c>
      <c r="C150" s="1106">
        <f aca="true" t="shared" si="44" ref="C150:J150">C145</f>
        <v>3360246179</v>
      </c>
      <c r="D150" s="1106"/>
      <c r="E150" s="1106">
        <f t="shared" si="44"/>
        <v>1968342915</v>
      </c>
      <c r="F150" s="1106">
        <f t="shared" si="44"/>
        <v>670978600</v>
      </c>
      <c r="G150" s="1106">
        <f t="shared" si="44"/>
        <v>31277290</v>
      </c>
      <c r="H150" s="1106">
        <f t="shared" si="44"/>
        <v>1969692298</v>
      </c>
      <c r="I150" s="1106">
        <f t="shared" si="44"/>
        <v>97700806</v>
      </c>
      <c r="J150" s="1106">
        <f t="shared" si="44"/>
        <v>8098238088</v>
      </c>
    </row>
    <row r="151" spans="1:10" ht="12.75">
      <c r="A151" s="1094">
        <f>A150+1</f>
        <v>104</v>
      </c>
      <c r="B151" s="1094" t="s">
        <v>795</v>
      </c>
      <c r="C151" s="1101">
        <f aca="true" t="shared" si="45" ref="C151:J151">SUM(C148:C150)</f>
        <v>7348690523</v>
      </c>
      <c r="D151" s="1101"/>
      <c r="E151" s="1101">
        <f t="shared" si="45"/>
        <v>3557250824</v>
      </c>
      <c r="F151" s="1101">
        <f t="shared" si="45"/>
        <v>1490978600</v>
      </c>
      <c r="G151" s="1101">
        <f t="shared" si="45"/>
        <v>51277290</v>
      </c>
      <c r="H151" s="1101">
        <f t="shared" si="45"/>
        <v>4039312292</v>
      </c>
      <c r="I151" s="1101">
        <f t="shared" si="45"/>
        <v>122700806</v>
      </c>
      <c r="J151" s="1101">
        <f t="shared" si="45"/>
        <v>16610210335</v>
      </c>
    </row>
    <row r="153" spans="1:10" ht="12.75">
      <c r="A153" s="1094">
        <f>A151+1</f>
        <v>105</v>
      </c>
      <c r="B153" s="1042" t="str">
        <f>"LTD Capital Shares (Ln "&amp;A148&amp;" / Ln "&amp;A151&amp;")"</f>
        <v>LTD Capital Shares (Ln 101 / Ln 104)</v>
      </c>
      <c r="C153" s="1107">
        <f aca="true" t="shared" si="46" ref="C153:J153">C148/C151</f>
        <v>0.5427421840009359</v>
      </c>
      <c r="D153" s="1107"/>
      <c r="E153" s="1107">
        <f t="shared" si="46"/>
        <v>0.4466673809673422</v>
      </c>
      <c r="F153" s="1107">
        <f t="shared" si="46"/>
        <v>0.549974359122257</v>
      </c>
      <c r="G153" s="1107">
        <f t="shared" si="46"/>
        <v>0.3900362129121878</v>
      </c>
      <c r="H153" s="1107">
        <f t="shared" si="46"/>
        <v>0.5123693946860596</v>
      </c>
      <c r="I153" s="1107">
        <f t="shared" si="46"/>
        <v>0.20374764286389446</v>
      </c>
      <c r="J153" s="1107">
        <f t="shared" si="46"/>
        <v>0.5124542119171184</v>
      </c>
    </row>
    <row r="154" spans="1:10" ht="12.75">
      <c r="A154" s="1094">
        <f>A153+1</f>
        <v>106</v>
      </c>
      <c r="B154" s="1042" t="str">
        <f>"Preferred Stock Capital Shares (Ln "&amp;A149&amp;" / Ln "&amp;A151&amp;")"</f>
        <v>Preferred Stock Capital Shares (Ln 102 / Ln 104)</v>
      </c>
      <c r="C154" s="1107">
        <f aca="true" t="shared" si="47" ref="C154:J154">C149/C151</f>
        <v>0</v>
      </c>
      <c r="D154" s="1107"/>
      <c r="E154" s="1107">
        <f t="shared" si="47"/>
        <v>0</v>
      </c>
      <c r="F154" s="1107">
        <f t="shared" si="47"/>
        <v>0</v>
      </c>
      <c r="G154" s="1107">
        <f t="shared" si="47"/>
        <v>0</v>
      </c>
      <c r="H154" s="1107">
        <f t="shared" si="47"/>
        <v>0</v>
      </c>
      <c r="I154" s="1107">
        <f t="shared" si="47"/>
        <v>0</v>
      </c>
      <c r="J154" s="1107">
        <f t="shared" si="47"/>
        <v>0</v>
      </c>
    </row>
    <row r="155" spans="1:10" ht="12.75">
      <c r="A155" s="1108">
        <f>A154+1</f>
        <v>107</v>
      </c>
      <c r="B155" s="1042" t="str">
        <f>"Common Equity Capital Shares (Ln "&amp;A150&amp;" / Ln "&amp;A151&amp;")"</f>
        <v>Common Equity Capital Shares (Ln 103 / Ln 104)</v>
      </c>
      <c r="C155" s="772">
        <f aca="true" t="shared" si="48" ref="C155:J155">C150/C151</f>
        <v>0.45725781599906407</v>
      </c>
      <c r="D155" s="772"/>
      <c r="E155" s="772">
        <f t="shared" si="48"/>
        <v>0.5533326190326577</v>
      </c>
      <c r="F155" s="772">
        <f t="shared" si="48"/>
        <v>0.450025640877743</v>
      </c>
      <c r="G155" s="772">
        <f t="shared" si="48"/>
        <v>0.6099637870878122</v>
      </c>
      <c r="H155" s="772">
        <f t="shared" si="48"/>
        <v>0.4876306053139404</v>
      </c>
      <c r="I155" s="772">
        <f t="shared" si="48"/>
        <v>0.7962523571361055</v>
      </c>
      <c r="J155" s="772">
        <f t="shared" si="48"/>
        <v>0.4875457880828816</v>
      </c>
    </row>
    <row r="156" spans="1:10" ht="12.75">
      <c r="A156" s="1108"/>
      <c r="B156" s="1042"/>
      <c r="C156" s="772"/>
      <c r="D156" s="772"/>
      <c r="E156" s="772"/>
      <c r="F156" s="772"/>
      <c r="G156" s="772"/>
      <c r="H156" s="772"/>
      <c r="I156" s="772"/>
      <c r="J156" s="772"/>
    </row>
    <row r="157" spans="1:10" ht="12.75">
      <c r="A157" s="1108">
        <f>A155+1</f>
        <v>108</v>
      </c>
      <c r="B157" s="1003" t="s">
        <v>849</v>
      </c>
      <c r="C157" s="1109"/>
      <c r="D157" s="1109"/>
      <c r="E157" s="1109"/>
      <c r="F157" s="1109"/>
      <c r="G157" s="1109"/>
      <c r="H157" s="1109"/>
      <c r="I157" s="1109"/>
      <c r="J157" s="1109"/>
    </row>
    <row r="158" spans="1:10" ht="12.75">
      <c r="A158" s="1108"/>
      <c r="B158" s="1042"/>
      <c r="C158" s="772"/>
      <c r="D158" s="772"/>
      <c r="E158" s="772"/>
      <c r="F158" s="772"/>
      <c r="G158" s="772"/>
      <c r="H158" s="772"/>
      <c r="I158" s="772"/>
      <c r="J158" s="772"/>
    </row>
    <row r="159" spans="1:10" ht="12.75">
      <c r="A159" s="1108">
        <f>A157+1</f>
        <v>109</v>
      </c>
      <c r="B159" s="1003" t="s">
        <v>849</v>
      </c>
      <c r="C159" s="772"/>
      <c r="D159" s="772"/>
      <c r="E159" s="772"/>
      <c r="F159" s="772"/>
      <c r="G159" s="772"/>
      <c r="H159" s="772"/>
      <c r="I159" s="772"/>
      <c r="J159" s="772"/>
    </row>
    <row r="160" spans="1:10" ht="12.75">
      <c r="A160" s="1108">
        <f>A159+1</f>
        <v>110</v>
      </c>
      <c r="B160" s="1003" t="s">
        <v>849</v>
      </c>
      <c r="C160" s="772"/>
      <c r="D160" s="772"/>
      <c r="E160" s="772"/>
      <c r="F160" s="772"/>
      <c r="G160" s="772"/>
      <c r="H160" s="772"/>
      <c r="I160" s="772"/>
      <c r="J160" s="772"/>
    </row>
    <row r="161" spans="1:10" ht="12.75">
      <c r="A161" s="1108">
        <f>A160+1</f>
        <v>111</v>
      </c>
      <c r="B161" s="1003" t="s">
        <v>849</v>
      </c>
      <c r="C161" s="772"/>
      <c r="D161" s="772"/>
      <c r="E161" s="772"/>
      <c r="F161" s="772"/>
      <c r="G161" s="772"/>
      <c r="H161" s="772"/>
      <c r="I161" s="772"/>
      <c r="J161" s="772"/>
    </row>
    <row r="162" spans="2:10" ht="12.75">
      <c r="B162" s="1042"/>
      <c r="C162" s="1107"/>
      <c r="D162" s="1107"/>
      <c r="E162" s="1107"/>
      <c r="F162" s="1107"/>
      <c r="G162" s="1107"/>
      <c r="H162" s="1107"/>
      <c r="I162" s="1107"/>
      <c r="J162" s="1107"/>
    </row>
    <row r="163" ht="15">
      <c r="A163" s="1001" t="s">
        <v>796</v>
      </c>
    </row>
    <row r="164" spans="1:10" ht="12.75">
      <c r="A164" s="1094">
        <f>A161+1</f>
        <v>112</v>
      </c>
      <c r="B164" s="1042" t="str">
        <f>"LTD Capital Cost Rate (Ln "&amp;A110&amp;" / Ln "&amp;A99&amp;")"</f>
        <v>LTD Capital Cost Rate (Ln 73 / Ln 65)</v>
      </c>
      <c r="C164" s="1107">
        <f aca="true" t="shared" si="49" ref="C164:J164">C110/C99</f>
        <v>0.05202795077538632</v>
      </c>
      <c r="D164" s="1107"/>
      <c r="E164" s="1107">
        <f t="shared" si="49"/>
        <v>0.05796487101506397</v>
      </c>
      <c r="F164" s="1107">
        <f t="shared" si="49"/>
        <v>0.04768391341463415</v>
      </c>
      <c r="G164" s="1107">
        <f t="shared" si="49"/>
        <v>0.0452</v>
      </c>
      <c r="H164" s="1107">
        <f t="shared" si="49"/>
        <v>0.0612292364624305</v>
      </c>
      <c r="I164" s="1107">
        <f t="shared" si="49"/>
        <v>0.0525</v>
      </c>
      <c r="J164" s="1107">
        <f t="shared" si="49"/>
        <v>0.0549402624244717</v>
      </c>
    </row>
    <row r="165" spans="1:10" ht="12.75">
      <c r="A165" s="1094">
        <f>A164+1</f>
        <v>113</v>
      </c>
      <c r="B165" s="1042" t="str">
        <f>"Preferred Stock Capital Cost Rate (Ln "&amp;A138&amp;" / Ln "&amp;A137&amp;")"</f>
        <v>Preferred Stock Capital Cost Rate (Ln 95 / Ln 94)</v>
      </c>
      <c r="C165" s="1107">
        <f aca="true" t="shared" si="50" ref="C165:J165">IF(C137=0,0,C138/C137)</f>
        <v>0</v>
      </c>
      <c r="D165" s="1107"/>
      <c r="E165" s="1107">
        <f t="shared" si="50"/>
        <v>0</v>
      </c>
      <c r="F165" s="1107">
        <f t="shared" si="50"/>
        <v>0</v>
      </c>
      <c r="G165" s="1107">
        <f t="shared" si="50"/>
        <v>0</v>
      </c>
      <c r="H165" s="1107">
        <f t="shared" si="50"/>
        <v>0</v>
      </c>
      <c r="I165" s="1107">
        <f t="shared" si="50"/>
        <v>0</v>
      </c>
      <c r="J165" s="1107">
        <f t="shared" si="50"/>
        <v>0</v>
      </c>
    </row>
    <row r="166" spans="1:10" ht="12.75">
      <c r="A166" s="1094">
        <f>A165+1</f>
        <v>114</v>
      </c>
      <c r="B166" s="1042" t="s">
        <v>797</v>
      </c>
      <c r="C166" s="772">
        <f>TCOS!J260</f>
        <v>0.1149</v>
      </c>
      <c r="D166" s="772"/>
      <c r="E166" s="772">
        <f>C166</f>
        <v>0.1149</v>
      </c>
      <c r="F166" s="772">
        <f>E166</f>
        <v>0.1149</v>
      </c>
      <c r="G166" s="772">
        <f>F166</f>
        <v>0.1149</v>
      </c>
      <c r="H166" s="772">
        <f>G166</f>
        <v>0.1149</v>
      </c>
      <c r="I166" s="772">
        <f>H166</f>
        <v>0.1149</v>
      </c>
      <c r="J166" s="772">
        <f>I166</f>
        <v>0.1149</v>
      </c>
    </row>
    <row r="168" ht="15">
      <c r="A168" s="1001" t="s">
        <v>798</v>
      </c>
    </row>
    <row r="169" spans="1:10" ht="12.75">
      <c r="A169" s="1094">
        <f>A166+1</f>
        <v>115</v>
      </c>
      <c r="B169" s="1042" t="str">
        <f>"LTD Weighted Capital Cost Rate (Ln "&amp;A153&amp;" * Ln "&amp;A164&amp;")"</f>
        <v>LTD Weighted Capital Cost Rate (Ln 105 * Ln 112)</v>
      </c>
      <c r="C169" s="1107">
        <f>C153*C164</f>
        <v>0.028237763632926356</v>
      </c>
      <c r="D169" s="1107"/>
      <c r="E169" s="1107">
        <f aca="true" t="shared" si="51" ref="E169:J169">E153*E164</f>
        <v>0.02589101712440843</v>
      </c>
      <c r="F169" s="1107">
        <f t="shared" si="51"/>
        <v>0.02622492972065461</v>
      </c>
      <c r="G169" s="1107">
        <f t="shared" si="51"/>
        <v>0.01762963682363089</v>
      </c>
      <c r="H169" s="1107">
        <f t="shared" si="51"/>
        <v>0.031371986823345126</v>
      </c>
      <c r="I169" s="1107">
        <f t="shared" si="51"/>
        <v>0.010696751250354459</v>
      </c>
      <c r="J169" s="1107">
        <f t="shared" si="51"/>
        <v>0.028154368883252314</v>
      </c>
    </row>
    <row r="170" spans="1:10" ht="12.75">
      <c r="A170" s="1094">
        <f>A169+1</f>
        <v>116</v>
      </c>
      <c r="B170" s="1042" t="str">
        <f>"Preferred Stock Capital Cost Rate (Ln "&amp;A154&amp;" * Ln "&amp;A165&amp;")"</f>
        <v>Preferred Stock Capital Cost Rate (Ln 106 * Ln 113)</v>
      </c>
      <c r="C170" s="1107">
        <f>C154*C165</f>
        <v>0</v>
      </c>
      <c r="D170" s="1107"/>
      <c r="E170" s="1107">
        <f aca="true" t="shared" si="52" ref="E170:J170">E154*E165</f>
        <v>0</v>
      </c>
      <c r="F170" s="1107">
        <f t="shared" si="52"/>
        <v>0</v>
      </c>
      <c r="G170" s="1107">
        <f t="shared" si="52"/>
        <v>0</v>
      </c>
      <c r="H170" s="1107">
        <f t="shared" si="52"/>
        <v>0</v>
      </c>
      <c r="I170" s="1107">
        <f t="shared" si="52"/>
        <v>0</v>
      </c>
      <c r="J170" s="1107">
        <f t="shared" si="52"/>
        <v>0</v>
      </c>
    </row>
    <row r="171" spans="1:10" ht="12.75">
      <c r="A171" s="1094">
        <f>A170+1</f>
        <v>117</v>
      </c>
      <c r="B171" s="1042" t="str">
        <f>"Common Equity Capital Cost Rate (Ln "&amp;A155&amp;" * Ln "&amp;A166&amp;")"</f>
        <v>Common Equity Capital Cost Rate (Ln 107 * Ln 114)</v>
      </c>
      <c r="C171" s="1110">
        <f>C155*C166</f>
        <v>0.05253892305829246</v>
      </c>
      <c r="D171" s="1110"/>
      <c r="E171" s="1110">
        <f aca="true" t="shared" si="53" ref="E171:J171">E155*E166</f>
        <v>0.06357791792685237</v>
      </c>
      <c r="F171" s="1110">
        <f t="shared" si="53"/>
        <v>0.05170794613685267</v>
      </c>
      <c r="G171" s="1110">
        <f t="shared" si="53"/>
        <v>0.07008483913638962</v>
      </c>
      <c r="H171" s="1110">
        <f t="shared" si="53"/>
        <v>0.056028756550571754</v>
      </c>
      <c r="I171" s="1110">
        <f t="shared" si="53"/>
        <v>0.09148939583493852</v>
      </c>
      <c r="J171" s="1110">
        <f t="shared" si="53"/>
        <v>0.0560190110507231</v>
      </c>
    </row>
    <row r="172" spans="1:10" ht="12.75">
      <c r="A172" s="1094">
        <f>A171+1</f>
        <v>118</v>
      </c>
      <c r="B172" s="1111" t="s">
        <v>795</v>
      </c>
      <c r="C172" s="1112">
        <f aca="true" t="shared" si="54" ref="C172:J172">SUM(C169:C171)</f>
        <v>0.08077668669121882</v>
      </c>
      <c r="D172" s="1112"/>
      <c r="E172" s="1112">
        <f t="shared" si="54"/>
        <v>0.0894689350512608</v>
      </c>
      <c r="F172" s="1112">
        <f t="shared" si="54"/>
        <v>0.07793287585750729</v>
      </c>
      <c r="G172" s="1112">
        <f t="shared" si="54"/>
        <v>0.08771447596002051</v>
      </c>
      <c r="H172" s="1112">
        <f t="shared" si="54"/>
        <v>0.08740074337391687</v>
      </c>
      <c r="I172" s="1112">
        <f t="shared" si="54"/>
        <v>0.10218614708529299</v>
      </c>
      <c r="J172" s="1112">
        <f t="shared" si="54"/>
        <v>0.08417337993397542</v>
      </c>
    </row>
    <row r="175" spans="1:10" ht="12.75">
      <c r="A175" s="1320" t="s">
        <v>774</v>
      </c>
      <c r="B175" s="1320"/>
      <c r="C175" s="1320"/>
      <c r="D175" s="1320"/>
      <c r="E175" s="1320"/>
      <c r="F175" s="1320"/>
      <c r="G175" s="1320"/>
      <c r="H175" s="1320"/>
      <c r="I175" s="1320"/>
      <c r="J175" s="1320"/>
    </row>
    <row r="176" spans="1:10" ht="12.75">
      <c r="A176" s="1320" t="s">
        <v>799</v>
      </c>
      <c r="B176" s="1320"/>
      <c r="C176" s="1320"/>
      <c r="D176" s="1320"/>
      <c r="E176" s="1320"/>
      <c r="F176" s="1320"/>
      <c r="G176" s="1320"/>
      <c r="H176" s="1320"/>
      <c r="I176" s="1320"/>
      <c r="J176" s="1320"/>
    </row>
    <row r="177" spans="1:10" ht="15.75">
      <c r="A177" s="1318" t="s">
        <v>352</v>
      </c>
      <c r="B177" s="1318"/>
      <c r="C177" s="1318"/>
      <c r="D177" s="1318"/>
      <c r="E177" s="1318"/>
      <c r="F177" s="1318"/>
      <c r="G177" s="1318"/>
      <c r="H177" s="1318"/>
      <c r="I177" s="1318"/>
      <c r="J177" s="1318"/>
    </row>
    <row r="179" spans="1:10" ht="63.75">
      <c r="A179" s="1094" t="s">
        <v>690</v>
      </c>
      <c r="C179" s="1095" t="s">
        <v>775</v>
      </c>
      <c r="D179" s="1095"/>
      <c r="E179" s="1095" t="s">
        <v>776</v>
      </c>
      <c r="F179" s="1095" t="s">
        <v>777</v>
      </c>
      <c r="G179" s="1095" t="s">
        <v>778</v>
      </c>
      <c r="H179" s="1095" t="s">
        <v>779</v>
      </c>
      <c r="I179" s="1095" t="s">
        <v>780</v>
      </c>
      <c r="J179" s="1095" t="s">
        <v>781</v>
      </c>
    </row>
    <row r="180" ht="15">
      <c r="A180" s="1001" t="s">
        <v>800</v>
      </c>
    </row>
    <row r="181" spans="1:10" ht="12.75">
      <c r="A181" s="1094">
        <f>A172+1</f>
        <v>119</v>
      </c>
      <c r="B181" s="1014" t="str">
        <f>"Average Bonds (Ln "&amp;A7&amp;" + Ln "&amp;A94&amp;") / 2"</f>
        <v>Average Bonds (Ln 1 + Ln 60) / 2</v>
      </c>
      <c r="C181" s="977">
        <f aca="true" t="shared" si="55" ref="C181:I185">AVERAGE(C7,C94)</f>
        <v>356360055.5</v>
      </c>
      <c r="D181" s="977"/>
      <c r="E181" s="977">
        <f t="shared" si="55"/>
        <v>0</v>
      </c>
      <c r="F181" s="977">
        <f t="shared" si="55"/>
        <v>0</v>
      </c>
      <c r="G181" s="977">
        <f t="shared" si="55"/>
        <v>0</v>
      </c>
      <c r="H181" s="977">
        <f t="shared" si="55"/>
        <v>0</v>
      </c>
      <c r="I181" s="977">
        <f t="shared" si="55"/>
        <v>0</v>
      </c>
      <c r="J181" s="977">
        <f>SUM(C181:I181)</f>
        <v>356360055.5</v>
      </c>
    </row>
    <row r="182" spans="1:10" ht="12.75">
      <c r="A182" s="1094">
        <f>A181+1</f>
        <v>120</v>
      </c>
      <c r="B182" s="1014" t="str">
        <f>"Less: Average Reacquired Bonds (Ln "&amp;A8&amp;" + Ln "&amp;A95&amp;") / 2"</f>
        <v>Less: Average Reacquired Bonds (Ln 2 + Ln 61) / 2</v>
      </c>
      <c r="C182" s="977">
        <f t="shared" si="55"/>
        <v>0</v>
      </c>
      <c r="D182" s="977"/>
      <c r="E182" s="977">
        <f t="shared" si="55"/>
        <v>40000000</v>
      </c>
      <c r="F182" s="977">
        <f t="shared" si="55"/>
        <v>0</v>
      </c>
      <c r="G182" s="977">
        <f t="shared" si="55"/>
        <v>0</v>
      </c>
      <c r="H182" s="977">
        <f t="shared" si="55"/>
        <v>345400000</v>
      </c>
      <c r="I182" s="977">
        <f t="shared" si="55"/>
        <v>0</v>
      </c>
      <c r="J182" s="977">
        <f>SUM(C182:I182)</f>
        <v>385400000</v>
      </c>
    </row>
    <row r="183" spans="1:10" ht="12.75">
      <c r="A183" s="1094">
        <f>A182+1</f>
        <v>121</v>
      </c>
      <c r="B183" s="1015" t="str">
        <f>"Average LT Advances from Assoc. Companies (Ln "&amp;A9&amp;" + Ln "&amp;A96&amp;") / 2"</f>
        <v>Average LT Advances from Assoc. Companies (Ln 3 + Ln 62) / 2</v>
      </c>
      <c r="C183" s="977">
        <f t="shared" si="55"/>
        <v>43000000</v>
      </c>
      <c r="D183" s="977"/>
      <c r="E183" s="977">
        <f t="shared" si="55"/>
        <v>0</v>
      </c>
      <c r="F183" s="977">
        <f t="shared" si="55"/>
        <v>0</v>
      </c>
      <c r="G183" s="977">
        <f t="shared" si="55"/>
        <v>20000000</v>
      </c>
      <c r="H183" s="977">
        <f t="shared" si="55"/>
        <v>0</v>
      </c>
      <c r="I183" s="977">
        <f t="shared" si="55"/>
        <v>12500000</v>
      </c>
      <c r="J183" s="977">
        <f>SUM(C183:I183)</f>
        <v>75500000</v>
      </c>
    </row>
    <row r="184" spans="1:10" ht="12.75">
      <c r="A184" s="1094">
        <f>A183+1</f>
        <v>122</v>
      </c>
      <c r="B184" s="1015" t="str">
        <f>"Average Senior Unsecured Notes (Ln "&amp;A10&amp;" + Ln "&amp;A97&amp;") / 2"</f>
        <v>Average Senior Unsecured Notes (Ln 4 + Ln 63) / 2</v>
      </c>
      <c r="C184" s="977">
        <f t="shared" si="55"/>
        <v>3577803171.5</v>
      </c>
      <c r="D184" s="977"/>
      <c r="E184" s="977">
        <f t="shared" si="55"/>
        <v>1619094830.5</v>
      </c>
      <c r="F184" s="977">
        <f t="shared" si="55"/>
        <v>845000000</v>
      </c>
      <c r="G184" s="977">
        <f t="shared" si="55"/>
        <v>0</v>
      </c>
      <c r="H184" s="977">
        <f t="shared" si="55"/>
        <v>2371981378</v>
      </c>
      <c r="I184" s="977">
        <f t="shared" si="55"/>
        <v>175000000</v>
      </c>
      <c r="J184" s="977">
        <f>SUM(C184:I184)</f>
        <v>8588879380</v>
      </c>
    </row>
    <row r="185" spans="1:10" ht="12.75">
      <c r="A185" s="1094">
        <f>A184+1</f>
        <v>123</v>
      </c>
      <c r="B185" s="1015" t="str">
        <f>"Less: Average Fair Value Hedges (See Note on Ln "&amp;A188&amp;" below)"</f>
        <v>Less: Average Fair Value Hedges (See Note on Ln 125 below)</v>
      </c>
      <c r="C185" s="1113">
        <f t="shared" si="55"/>
        <v>0</v>
      </c>
      <c r="D185" s="1113"/>
      <c r="E185" s="1113">
        <f t="shared" si="55"/>
        <v>0</v>
      </c>
      <c r="F185" s="1113">
        <f t="shared" si="55"/>
        <v>0</v>
      </c>
      <c r="G185" s="1113">
        <f t="shared" si="55"/>
        <v>0</v>
      </c>
      <c r="H185" s="1113">
        <f t="shared" si="55"/>
        <v>0</v>
      </c>
      <c r="I185" s="1113">
        <f t="shared" si="55"/>
        <v>0</v>
      </c>
      <c r="J185" s="1096">
        <f>SUM(C185:I185)</f>
        <v>0</v>
      </c>
    </row>
    <row r="186" spans="1:10" ht="12.75">
      <c r="A186" s="1094">
        <f>A185+1</f>
        <v>124</v>
      </c>
      <c r="B186" s="1017" t="s">
        <v>801</v>
      </c>
      <c r="C186" s="1097">
        <f aca="true" t="shared" si="56" ref="C186:J186">C181-C182+C183+C184-C185</f>
        <v>3977163227</v>
      </c>
      <c r="D186" s="1097"/>
      <c r="E186" s="1097">
        <f t="shared" si="56"/>
        <v>1579094830.5</v>
      </c>
      <c r="F186" s="1097">
        <f t="shared" si="56"/>
        <v>845000000</v>
      </c>
      <c r="G186" s="1097">
        <f t="shared" si="56"/>
        <v>20000000</v>
      </c>
      <c r="H186" s="1097">
        <f t="shared" si="56"/>
        <v>2026581378</v>
      </c>
      <c r="I186" s="1097">
        <f t="shared" si="56"/>
        <v>187500000</v>
      </c>
      <c r="J186" s="1097">
        <f t="shared" si="56"/>
        <v>8635339435.5</v>
      </c>
    </row>
    <row r="188" spans="1:10" s="1108" customFormat="1" ht="12.75">
      <c r="A188" s="1108">
        <f>A186+1</f>
        <v>125</v>
      </c>
      <c r="B188" s="1319" t="s">
        <v>108</v>
      </c>
      <c r="C188" s="1319"/>
      <c r="D188" s="1319"/>
      <c r="E188" s="1319"/>
      <c r="F188" s="1319"/>
      <c r="G188" s="1319"/>
      <c r="H188" s="1319"/>
      <c r="I188" s="1319"/>
      <c r="J188" s="1319"/>
    </row>
    <row r="189" spans="1:10" s="1108" customFormat="1" ht="12.75">
      <c r="A189" s="1114"/>
      <c r="B189" s="1098"/>
      <c r="C189" s="1098"/>
      <c r="D189" s="1098"/>
      <c r="E189" s="1098"/>
      <c r="F189" s="1098"/>
      <c r="G189" s="1098"/>
      <c r="H189" s="1098"/>
      <c r="I189" s="1098"/>
      <c r="J189" s="1098"/>
    </row>
    <row r="190" spans="1:10" ht="15">
      <c r="A190" s="1001" t="str">
        <f>"Development of "&amp;TCOS!O1&amp;" Long Term Debt Interest Expense"</f>
        <v>Development of   Long Term Debt Interest Expense</v>
      </c>
      <c r="B190" s="1108"/>
      <c r="C190" s="1108"/>
      <c r="D190" s="1108"/>
      <c r="E190" s="1108"/>
      <c r="F190" s="1108"/>
      <c r="G190" s="1108"/>
      <c r="H190" s="1108"/>
      <c r="I190" s="1108"/>
      <c r="J190" s="1108"/>
    </row>
    <row r="191" spans="1:10" ht="12.75">
      <c r="A191" s="1108">
        <f>A188+1</f>
        <v>126</v>
      </c>
      <c r="B191" s="1015" t="str">
        <f aca="true" t="shared" si="57" ref="B191:I191">B17</f>
        <v>Interest on Long Term Debt (256-257.33.i)</v>
      </c>
      <c r="C191" s="865">
        <f t="shared" si="57"/>
        <v>188068200</v>
      </c>
      <c r="D191" s="865"/>
      <c r="E191" s="865">
        <f t="shared" si="57"/>
        <v>79376715</v>
      </c>
      <c r="F191" s="865">
        <f t="shared" si="57"/>
        <v>43405169</v>
      </c>
      <c r="G191" s="865">
        <f t="shared" si="57"/>
        <v>904000</v>
      </c>
      <c r="H191" s="865">
        <f t="shared" si="57"/>
        <v>117119422</v>
      </c>
      <c r="I191" s="865">
        <f t="shared" si="57"/>
        <v>7144374</v>
      </c>
      <c r="J191" s="865">
        <f aca="true" t="shared" si="58" ref="J191:J196">SUM(C191:I191)</f>
        <v>436017880</v>
      </c>
    </row>
    <row r="192" spans="1:10" ht="12.75">
      <c r="A192" s="1108">
        <f aca="true" t="shared" si="59" ref="A192:A197">A191+1</f>
        <v>127</v>
      </c>
      <c r="B192" s="1015" t="str">
        <f aca="true" t="shared" si="60" ref="B192:C196">B18</f>
        <v>Amort of Debt Discount &amp; Expense (117.63.c)</v>
      </c>
      <c r="C192" s="865">
        <f>C18</f>
        <v>2916356</v>
      </c>
      <c r="D192" s="865"/>
      <c r="E192" s="865">
        <f aca="true" t="shared" si="61" ref="E192:I193">E18</f>
        <v>1779096</v>
      </c>
      <c r="F192" s="865">
        <f t="shared" si="61"/>
        <v>716313</v>
      </c>
      <c r="G192" s="865">
        <f t="shared" si="61"/>
        <v>0</v>
      </c>
      <c r="H192" s="865">
        <f t="shared" si="61"/>
        <v>1595208</v>
      </c>
      <c r="I192" s="865">
        <f t="shared" si="61"/>
        <v>171512</v>
      </c>
      <c r="J192" s="865">
        <f t="shared" si="58"/>
        <v>7178485</v>
      </c>
    </row>
    <row r="193" spans="1:10" ht="12.75">
      <c r="A193" s="1108">
        <f t="shared" si="59"/>
        <v>128</v>
      </c>
      <c r="B193" s="1015" t="str">
        <f t="shared" si="60"/>
        <v>Amort of Loss on Reacquired Debt (117.64.c)</v>
      </c>
      <c r="C193" s="865">
        <f t="shared" si="60"/>
        <v>3960759</v>
      </c>
      <c r="D193" s="865"/>
      <c r="E193" s="865">
        <f t="shared" si="61"/>
        <v>1283093</v>
      </c>
      <c r="F193" s="865">
        <f t="shared" si="61"/>
        <v>33624</v>
      </c>
      <c r="G193" s="865">
        <f t="shared" si="61"/>
        <v>0</v>
      </c>
      <c r="H193" s="865">
        <f t="shared" si="61"/>
        <v>1311350</v>
      </c>
      <c r="I193" s="865">
        <f t="shared" si="61"/>
        <v>0</v>
      </c>
      <c r="J193" s="865">
        <f t="shared" si="58"/>
        <v>6588826</v>
      </c>
    </row>
    <row r="194" spans="1:10" ht="12.75">
      <c r="A194" s="1108">
        <f t="shared" si="59"/>
        <v>129</v>
      </c>
      <c r="B194" s="1015" t="str">
        <f>B20</f>
        <v>Less: Amort of Premium on Debt (117.65.c)</v>
      </c>
      <c r="C194" s="865">
        <f aca="true" t="shared" si="62" ref="C194:I194">C20</f>
        <v>0</v>
      </c>
      <c r="D194" s="865"/>
      <c r="E194" s="865">
        <f t="shared" si="62"/>
        <v>0</v>
      </c>
      <c r="F194" s="865">
        <f t="shared" si="62"/>
        <v>0</v>
      </c>
      <c r="G194" s="865">
        <f t="shared" si="62"/>
        <v>0</v>
      </c>
      <c r="H194" s="865">
        <f t="shared" si="62"/>
        <v>0</v>
      </c>
      <c r="I194" s="865">
        <f t="shared" si="62"/>
        <v>0</v>
      </c>
      <c r="J194" s="977">
        <f t="shared" si="58"/>
        <v>0</v>
      </c>
    </row>
    <row r="195" spans="1:10" ht="12.75">
      <c r="A195" s="1108">
        <f t="shared" si="59"/>
        <v>130</v>
      </c>
      <c r="B195" s="1015" t="str">
        <f t="shared" si="60"/>
        <v>Less: Amort of Gain on Reacquired Debt (117.66.c)</v>
      </c>
      <c r="C195" s="865">
        <f>C21</f>
        <v>0</v>
      </c>
      <c r="D195" s="865"/>
      <c r="E195" s="865">
        <f aca="true" t="shared" si="63" ref="E195:I196">E21</f>
        <v>1712</v>
      </c>
      <c r="F195" s="865">
        <f t="shared" si="63"/>
        <v>0</v>
      </c>
      <c r="G195" s="865">
        <f t="shared" si="63"/>
        <v>0</v>
      </c>
      <c r="H195" s="865">
        <f t="shared" si="63"/>
        <v>0</v>
      </c>
      <c r="I195" s="865">
        <f t="shared" si="63"/>
        <v>0</v>
      </c>
      <c r="J195" s="977">
        <f t="shared" si="58"/>
        <v>1712</v>
      </c>
    </row>
    <row r="196" spans="1:10" ht="12.75">
      <c r="A196" s="1108">
        <f t="shared" si="59"/>
        <v>131</v>
      </c>
      <c r="B196" s="1115" t="str">
        <f t="shared" si="60"/>
        <v>Less: Hedge Interest on pp 256-257(i)</v>
      </c>
      <c r="C196" s="1113">
        <f>C22</f>
        <v>-422541</v>
      </c>
      <c r="D196" s="1113"/>
      <c r="E196" s="1113">
        <f t="shared" si="63"/>
        <v>1676623</v>
      </c>
      <c r="F196" s="1113">
        <f t="shared" si="63"/>
        <v>92956</v>
      </c>
      <c r="G196" s="1113">
        <f t="shared" si="63"/>
        <v>0</v>
      </c>
      <c r="H196" s="1113">
        <f t="shared" si="63"/>
        <v>-2097663</v>
      </c>
      <c r="I196" s="1113">
        <f t="shared" si="63"/>
        <v>0</v>
      </c>
      <c r="J196" s="1096">
        <f t="shared" si="58"/>
        <v>-750625</v>
      </c>
    </row>
    <row r="197" spans="1:10" ht="12.75">
      <c r="A197" s="1108">
        <f t="shared" si="59"/>
        <v>132</v>
      </c>
      <c r="B197" s="1116" t="str">
        <f>""&amp;TCOS!O1&amp;" LTD Interest Expense"</f>
        <v>  LTD Interest Expense</v>
      </c>
      <c r="C197" s="1117">
        <f aca="true" t="shared" si="64" ref="C197:J197">C191+C192+C193-C194-C195-C196</f>
        <v>195367856</v>
      </c>
      <c r="D197" s="1117"/>
      <c r="E197" s="1117">
        <f t="shared" si="64"/>
        <v>80760569</v>
      </c>
      <c r="F197" s="1117">
        <f t="shared" si="64"/>
        <v>44062150</v>
      </c>
      <c r="G197" s="1117">
        <f t="shared" si="64"/>
        <v>904000</v>
      </c>
      <c r="H197" s="1117">
        <f t="shared" si="64"/>
        <v>122123643</v>
      </c>
      <c r="I197" s="1117">
        <f t="shared" si="64"/>
        <v>7315886</v>
      </c>
      <c r="J197" s="1118">
        <f t="shared" si="64"/>
        <v>450534104</v>
      </c>
    </row>
    <row r="198" spans="1:10" ht="12.75">
      <c r="A198" s="1108"/>
      <c r="B198" s="1108"/>
      <c r="C198" s="1108"/>
      <c r="D198" s="1108"/>
      <c r="E198" s="1108"/>
      <c r="F198" s="1108"/>
      <c r="G198" s="1108"/>
      <c r="H198" s="1108"/>
      <c r="I198" s="1108"/>
      <c r="J198" s="1108"/>
    </row>
    <row r="199" spans="1:10" ht="15">
      <c r="A199" s="1001" t="str">
        <f>""&amp;TCOS!O1&amp;" Cost of Preferred Stock and Preferred Dividends"</f>
        <v>  Cost of Preferred Stock and Preferred Dividends</v>
      </c>
      <c r="B199" s="1119"/>
      <c r="C199" s="1119"/>
      <c r="D199" s="1119"/>
      <c r="E199" s="1119"/>
      <c r="F199" s="1108"/>
      <c r="G199" s="1108"/>
      <c r="H199" s="1108"/>
      <c r="I199" s="1108"/>
      <c r="J199" s="1108"/>
    </row>
    <row r="200" spans="1:10" ht="12.75">
      <c r="A200" s="1108">
        <f>A197+1</f>
        <v>133</v>
      </c>
      <c r="B200" s="1042" t="str">
        <f>"Average Balance of Preferred Stock (Ln "&amp;A50&amp;" + Ln "&amp;A137&amp;") / 2"</f>
        <v>Average Balance of Preferred Stock (Ln 35 + Ln 94) / 2</v>
      </c>
      <c r="C200" s="1117">
        <f>AVERAGE(C50,C137)</f>
        <v>0</v>
      </c>
      <c r="D200" s="1117"/>
      <c r="E200" s="1117">
        <f aca="true" t="shared" si="65" ref="E200:J200">AVERAGE(E50,E137)</f>
        <v>0</v>
      </c>
      <c r="F200" s="1117">
        <f t="shared" si="65"/>
        <v>0</v>
      </c>
      <c r="G200" s="1117">
        <f t="shared" si="65"/>
        <v>0</v>
      </c>
      <c r="H200" s="1117">
        <f t="shared" si="65"/>
        <v>0</v>
      </c>
      <c r="I200" s="1117">
        <f t="shared" si="65"/>
        <v>0</v>
      </c>
      <c r="J200" s="1117">
        <f t="shared" si="65"/>
        <v>0</v>
      </c>
    </row>
    <row r="201" spans="1:10" ht="12.75">
      <c r="A201" s="1108">
        <f>A200+1</f>
        <v>134</v>
      </c>
      <c r="B201" s="1042" t="str">
        <f>""&amp;TCOS!O1&amp;" Preferred Dividends (Ln "&amp;A51&amp;")"</f>
        <v>  Preferred Dividends (Ln 36)</v>
      </c>
      <c r="C201" s="1117">
        <f>C51</f>
        <v>0</v>
      </c>
      <c r="D201" s="1117"/>
      <c r="E201" s="1117">
        <f aca="true" t="shared" si="66" ref="E201:J201">E51</f>
        <v>0</v>
      </c>
      <c r="F201" s="1117">
        <f t="shared" si="66"/>
        <v>0</v>
      </c>
      <c r="G201" s="1117">
        <f t="shared" si="66"/>
        <v>0</v>
      </c>
      <c r="H201" s="1117">
        <f t="shared" si="66"/>
        <v>0</v>
      </c>
      <c r="I201" s="1117">
        <f t="shared" si="66"/>
        <v>0</v>
      </c>
      <c r="J201" s="1117">
        <f t="shared" si="66"/>
        <v>0</v>
      </c>
    </row>
    <row r="202" ht="12.75">
      <c r="B202" s="1114"/>
    </row>
    <row r="203" ht="15">
      <c r="A203" s="1001" t="s">
        <v>802</v>
      </c>
    </row>
    <row r="204" spans="1:10" ht="12.75">
      <c r="A204" s="1094">
        <f>A201+1</f>
        <v>135</v>
      </c>
      <c r="B204" s="800" t="str">
        <f>"Average Proprietary Capital (Ln "&amp;A54&amp;" + Ln "&amp;A141&amp;") / 2"</f>
        <v>Average Proprietary Capital (Ln 37 + Ln 96) / 2</v>
      </c>
      <c r="C204" s="865">
        <f aca="true" t="shared" si="67" ref="C204:I204">AVERAGE(C54,C141)</f>
        <v>3420989008.5</v>
      </c>
      <c r="D204" s="865"/>
      <c r="E204" s="865">
        <f t="shared" si="67"/>
        <v>1995179285</v>
      </c>
      <c r="F204" s="865">
        <f t="shared" si="67"/>
        <v>663358436.5</v>
      </c>
      <c r="G204" s="865">
        <f t="shared" si="67"/>
        <v>30451740.5</v>
      </c>
      <c r="H204" s="865">
        <f t="shared" si="67"/>
        <v>1983392397</v>
      </c>
      <c r="I204" s="865">
        <f t="shared" si="67"/>
        <v>252467181</v>
      </c>
      <c r="J204" s="1118">
        <f>SUM(C204:I204)</f>
        <v>8345838048.5</v>
      </c>
    </row>
    <row r="205" spans="1:10" ht="12.75">
      <c r="A205" s="1094">
        <f>A204+1</f>
        <v>136</v>
      </c>
      <c r="B205" s="800" t="str">
        <f>"Less: Average Preferred Stock (Ln "&amp;A200&amp;" Above)"</f>
        <v>Less: Average Preferred Stock (Ln 133 Above)</v>
      </c>
      <c r="C205" s="865">
        <f aca="true" t="shared" si="68" ref="C205:I205">C200</f>
        <v>0</v>
      </c>
      <c r="D205" s="865"/>
      <c r="E205" s="865">
        <f t="shared" si="68"/>
        <v>0</v>
      </c>
      <c r="F205" s="865">
        <f t="shared" si="68"/>
        <v>0</v>
      </c>
      <c r="G205" s="865">
        <f t="shared" si="68"/>
        <v>0</v>
      </c>
      <c r="H205" s="865">
        <f t="shared" si="68"/>
        <v>0</v>
      </c>
      <c r="I205" s="865">
        <f t="shared" si="68"/>
        <v>0</v>
      </c>
      <c r="J205" s="1118">
        <f>SUM(C205:I205)</f>
        <v>0</v>
      </c>
    </row>
    <row r="206" spans="1:10" ht="12.75">
      <c r="A206" s="1094">
        <f>A205+1</f>
        <v>137</v>
      </c>
      <c r="B206" s="800" t="str">
        <f>"Less: Average Account 216.1 (Ln "&amp;A56&amp;" + Ln "&amp;A143&amp;") / 2"</f>
        <v>Less: Average Account 216.1 (Ln 39 + Ln 98) / 2</v>
      </c>
      <c r="C206" s="865">
        <f aca="true" t="shared" si="69" ref="C206:I207">AVERAGE(C56,C143)</f>
        <v>1704214</v>
      </c>
      <c r="D206" s="865"/>
      <c r="E206" s="865">
        <f t="shared" si="69"/>
        <v>-873</v>
      </c>
      <c r="F206" s="865">
        <f t="shared" si="69"/>
        <v>0</v>
      </c>
      <c r="G206" s="865">
        <f t="shared" si="69"/>
        <v>0</v>
      </c>
      <c r="H206" s="865">
        <f t="shared" si="69"/>
        <v>4915704</v>
      </c>
      <c r="I206" s="865">
        <f t="shared" si="69"/>
        <v>0</v>
      </c>
      <c r="J206" s="1118">
        <f>SUM(C206:I206)</f>
        <v>6619045</v>
      </c>
    </row>
    <row r="207" spans="1:10" ht="12.75">
      <c r="A207" s="1094">
        <f>A206+1</f>
        <v>138</v>
      </c>
      <c r="B207" s="800" t="str">
        <f>"Less: Average Account 219.1 (Ln "&amp;A57&amp;" + Ln "&amp;A144&amp;") / 2"</f>
        <v>Less: Average Account 219.1 (Ln 40 + Ln 99) / 2</v>
      </c>
      <c r="C207" s="1113">
        <f t="shared" si="69"/>
        <v>1119653</v>
      </c>
      <c r="D207" s="1113"/>
      <c r="E207" s="1113">
        <f t="shared" si="69"/>
        <v>-15549483</v>
      </c>
      <c r="F207" s="1113">
        <f t="shared" si="69"/>
        <v>-4490539</v>
      </c>
      <c r="G207" s="1113">
        <f t="shared" si="69"/>
        <v>0</v>
      </c>
      <c r="H207" s="1113">
        <f t="shared" si="69"/>
        <v>4915719</v>
      </c>
      <c r="I207" s="1113">
        <f t="shared" si="69"/>
        <v>417051</v>
      </c>
      <c r="J207" s="1120">
        <f>SUM(C207:I207)</f>
        <v>-13587599</v>
      </c>
    </row>
    <row r="208" spans="1:10" ht="12.75">
      <c r="A208" s="1094">
        <f>A207+1</f>
        <v>139</v>
      </c>
      <c r="B208" s="1008" t="s">
        <v>553</v>
      </c>
      <c r="C208" s="977">
        <f aca="true" t="shared" si="70" ref="C208:J208">C204-C205-C206-C207</f>
        <v>3418165141.5</v>
      </c>
      <c r="D208" s="977"/>
      <c r="E208" s="977">
        <f t="shared" si="70"/>
        <v>2010729641</v>
      </c>
      <c r="F208" s="977">
        <f t="shared" si="70"/>
        <v>667848975.5</v>
      </c>
      <c r="G208" s="977">
        <f t="shared" si="70"/>
        <v>30451740.5</v>
      </c>
      <c r="H208" s="977">
        <f t="shared" si="70"/>
        <v>1973560974</v>
      </c>
      <c r="I208" s="977">
        <f t="shared" si="70"/>
        <v>252050130</v>
      </c>
      <c r="J208" s="1121">
        <f t="shared" si="70"/>
        <v>8352806602.5</v>
      </c>
    </row>
    <row r="210" ht="15">
      <c r="A210" s="1001" t="s">
        <v>794</v>
      </c>
    </row>
    <row r="211" spans="1:10" ht="12.75">
      <c r="A211" s="1094">
        <f>A208+1</f>
        <v>140</v>
      </c>
      <c r="B211" s="1042" t="str">
        <f>"Average Balance of Long Term Debt (Ln "&amp;A186&amp;" Above)"</f>
        <v>Average Balance of Long Term Debt (Ln 124 Above)</v>
      </c>
      <c r="C211" s="1101">
        <f aca="true" t="shared" si="71" ref="C211:J211">C186</f>
        <v>3977163227</v>
      </c>
      <c r="D211" s="1101"/>
      <c r="E211" s="1101">
        <f t="shared" si="71"/>
        <v>1579094830.5</v>
      </c>
      <c r="F211" s="1101">
        <f t="shared" si="71"/>
        <v>845000000</v>
      </c>
      <c r="G211" s="1101">
        <f t="shared" si="71"/>
        <v>20000000</v>
      </c>
      <c r="H211" s="1101">
        <f t="shared" si="71"/>
        <v>2026581378</v>
      </c>
      <c r="I211" s="1101">
        <f t="shared" si="71"/>
        <v>187500000</v>
      </c>
      <c r="J211" s="1101">
        <f t="shared" si="71"/>
        <v>8635339435.5</v>
      </c>
    </row>
    <row r="212" spans="1:10" ht="12.75">
      <c r="A212" s="1094">
        <f>A211+1</f>
        <v>141</v>
      </c>
      <c r="B212" s="1042" t="str">
        <f>"Average Balance of Preferred Stock (Ln "&amp;A200&amp;" Above)"</f>
        <v>Average Balance of Preferred Stock (Ln 133 Above)</v>
      </c>
      <c r="C212" s="1101">
        <f aca="true" t="shared" si="72" ref="C212:J212">C200</f>
        <v>0</v>
      </c>
      <c r="D212" s="1101"/>
      <c r="E212" s="1101">
        <f t="shared" si="72"/>
        <v>0</v>
      </c>
      <c r="F212" s="1101">
        <f t="shared" si="72"/>
        <v>0</v>
      </c>
      <c r="G212" s="1101">
        <f t="shared" si="72"/>
        <v>0</v>
      </c>
      <c r="H212" s="1101">
        <f t="shared" si="72"/>
        <v>0</v>
      </c>
      <c r="I212" s="1101">
        <f t="shared" si="72"/>
        <v>0</v>
      </c>
      <c r="J212" s="1101">
        <f t="shared" si="72"/>
        <v>0</v>
      </c>
    </row>
    <row r="213" spans="1:10" ht="12.75">
      <c r="A213" s="1094">
        <f>A212+1</f>
        <v>142</v>
      </c>
      <c r="B213" s="1042" t="str">
        <f>"Average Balance of Common Equity (Ln "&amp;A208&amp;" Above)"</f>
        <v>Average Balance of Common Equity (Ln 139 Above)</v>
      </c>
      <c r="C213" s="1106">
        <f aca="true" t="shared" si="73" ref="C213:J213">C208</f>
        <v>3418165141.5</v>
      </c>
      <c r="D213" s="1106"/>
      <c r="E213" s="1106">
        <f t="shared" si="73"/>
        <v>2010729641</v>
      </c>
      <c r="F213" s="1106">
        <f t="shared" si="73"/>
        <v>667848975.5</v>
      </c>
      <c r="G213" s="1106">
        <f t="shared" si="73"/>
        <v>30451740.5</v>
      </c>
      <c r="H213" s="1106">
        <f t="shared" si="73"/>
        <v>1973560974</v>
      </c>
      <c r="I213" s="1106">
        <f t="shared" si="73"/>
        <v>252050130</v>
      </c>
      <c r="J213" s="1106">
        <f t="shared" si="73"/>
        <v>8352806602.5</v>
      </c>
    </row>
    <row r="214" spans="1:12" ht="12.75">
      <c r="A214" s="1094">
        <f>A213+1</f>
        <v>143</v>
      </c>
      <c r="B214" s="1094" t="s">
        <v>803</v>
      </c>
      <c r="C214" s="1101">
        <f aca="true" t="shared" si="74" ref="C214:J214">SUM(C211:C213)</f>
        <v>7395328368.5</v>
      </c>
      <c r="D214" s="1101"/>
      <c r="E214" s="1101">
        <f t="shared" si="74"/>
        <v>3589824471.5</v>
      </c>
      <c r="F214" s="1101">
        <f t="shared" si="74"/>
        <v>1512848975.5</v>
      </c>
      <c r="G214" s="1101">
        <f t="shared" si="74"/>
        <v>50451740.5</v>
      </c>
      <c r="H214" s="1101">
        <f t="shared" si="74"/>
        <v>4000142352</v>
      </c>
      <c r="I214" s="1101">
        <f t="shared" si="74"/>
        <v>439550130</v>
      </c>
      <c r="J214" s="1101">
        <f t="shared" si="74"/>
        <v>16988146038</v>
      </c>
      <c r="L214" s="1122"/>
    </row>
    <row r="216" spans="1:10" ht="12.75">
      <c r="A216" s="1094">
        <f>A214+1</f>
        <v>144</v>
      </c>
      <c r="B216" s="1042" t="str">
        <f>"Average Balance of LTD Capital Shares (Ln "&amp;A211&amp;" / Ln "&amp;A214&amp;")"</f>
        <v>Average Balance of LTD Capital Shares (Ln 140 / Ln 143)</v>
      </c>
      <c r="C216" s="1107">
        <f aca="true" t="shared" si="75" ref="C216:I216">C211/C214</f>
        <v>0.5377940003233002</v>
      </c>
      <c r="D216" s="1107"/>
      <c r="E216" s="1107">
        <f t="shared" si="75"/>
        <v>0.4398807916756383</v>
      </c>
      <c r="F216" s="1107">
        <f t="shared" si="75"/>
        <v>0.5585488133213863</v>
      </c>
      <c r="G216" s="1107">
        <f t="shared" si="75"/>
        <v>0.39641843476143307</v>
      </c>
      <c r="H216" s="1107">
        <f t="shared" si="75"/>
        <v>0.5066273146471263</v>
      </c>
      <c r="I216" s="1107">
        <f t="shared" si="75"/>
        <v>0.42657250493817395</v>
      </c>
      <c r="J216" s="1107">
        <f>J211/J214</f>
        <v>0.5083155875976112</v>
      </c>
    </row>
    <row r="217" spans="1:10" ht="12.75">
      <c r="A217" s="1094">
        <f>A216+1</f>
        <v>145</v>
      </c>
      <c r="B217" s="1042" t="str">
        <f>"Average Balance of Preferred Stock Capital Shares (Ln "&amp;A212&amp;" / Ln "&amp;A214&amp;")"</f>
        <v>Average Balance of Preferred Stock Capital Shares (Ln 141 / Ln 143)</v>
      </c>
      <c r="C217" s="1107">
        <f aca="true" t="shared" si="76" ref="C217:I217">C212/C214</f>
        <v>0</v>
      </c>
      <c r="D217" s="1107"/>
      <c r="E217" s="1107">
        <f t="shared" si="76"/>
        <v>0</v>
      </c>
      <c r="F217" s="1107">
        <f t="shared" si="76"/>
        <v>0</v>
      </c>
      <c r="G217" s="1107">
        <f t="shared" si="76"/>
        <v>0</v>
      </c>
      <c r="H217" s="1107">
        <f t="shared" si="76"/>
        <v>0</v>
      </c>
      <c r="I217" s="1107">
        <f t="shared" si="76"/>
        <v>0</v>
      </c>
      <c r="J217" s="1107">
        <f>J212/J214</f>
        <v>0</v>
      </c>
    </row>
    <row r="218" spans="1:10" ht="12.75">
      <c r="A218" s="1108">
        <f>A217+1</f>
        <v>146</v>
      </c>
      <c r="B218" s="1042" t="str">
        <f>"Average Balance of Common Equity Capital Shares (Ln "&amp;A213&amp;" / Ln "&amp;A214&amp;")"</f>
        <v>Average Balance of Common Equity Capital Shares (Ln 142 / Ln 143)</v>
      </c>
      <c r="C218" s="772">
        <f aca="true" t="shared" si="77" ref="C218:I218">C213/C214</f>
        <v>0.46220599967669984</v>
      </c>
      <c r="D218" s="772"/>
      <c r="E218" s="772">
        <f t="shared" si="77"/>
        <v>0.5601192083243617</v>
      </c>
      <c r="F218" s="772">
        <f t="shared" si="77"/>
        <v>0.4414511866786137</v>
      </c>
      <c r="G218" s="772">
        <f t="shared" si="77"/>
        <v>0.603581565238567</v>
      </c>
      <c r="H218" s="772">
        <f t="shared" si="77"/>
        <v>0.49337268535287365</v>
      </c>
      <c r="I218" s="772">
        <f t="shared" si="77"/>
        <v>0.5734274950618261</v>
      </c>
      <c r="J218" s="772">
        <f>J213/J214</f>
        <v>0.49168441240238886</v>
      </c>
    </row>
    <row r="219" spans="1:10" ht="12.75">
      <c r="A219" s="1108"/>
      <c r="B219" s="1042"/>
      <c r="C219" s="772"/>
      <c r="D219" s="772"/>
      <c r="E219" s="772"/>
      <c r="F219" s="772"/>
      <c r="G219" s="772"/>
      <c r="H219" s="772"/>
      <c r="I219" s="772"/>
      <c r="J219" s="772"/>
    </row>
    <row r="220" spans="1:10" ht="12.75">
      <c r="A220" s="1108">
        <f>A218+1</f>
        <v>147</v>
      </c>
      <c r="B220" s="1003" t="s">
        <v>849</v>
      </c>
      <c r="C220" s="772"/>
      <c r="D220" s="772"/>
      <c r="E220" s="772"/>
      <c r="F220" s="772"/>
      <c r="G220" s="772"/>
      <c r="H220" s="772"/>
      <c r="I220" s="772"/>
      <c r="J220" s="772"/>
    </row>
    <row r="221" spans="1:10" ht="12.75">
      <c r="A221" s="1108"/>
      <c r="B221" s="1042"/>
      <c r="C221" s="772"/>
      <c r="D221" s="772"/>
      <c r="E221" s="772"/>
      <c r="F221" s="772"/>
      <c r="G221" s="772"/>
      <c r="H221" s="772"/>
      <c r="I221" s="772"/>
      <c r="J221" s="772"/>
    </row>
    <row r="222" spans="1:10" ht="12.75">
      <c r="A222" s="1108">
        <f>A220+1</f>
        <v>148</v>
      </c>
      <c r="B222" s="1003" t="s">
        <v>849</v>
      </c>
      <c r="C222" s="772"/>
      <c r="D222" s="772"/>
      <c r="E222" s="772"/>
      <c r="F222" s="772"/>
      <c r="G222" s="772"/>
      <c r="H222" s="772"/>
      <c r="I222" s="772"/>
      <c r="J222" s="772"/>
    </row>
    <row r="223" spans="1:10" ht="12.75">
      <c r="A223" s="1108">
        <f>A222+1</f>
        <v>149</v>
      </c>
      <c r="B223" s="1003" t="s">
        <v>849</v>
      </c>
      <c r="C223" s="772"/>
      <c r="D223" s="772"/>
      <c r="E223" s="772"/>
      <c r="F223" s="772"/>
      <c r="G223" s="772"/>
      <c r="H223" s="772"/>
      <c r="I223" s="772"/>
      <c r="J223" s="772"/>
    </row>
    <row r="224" spans="1:10" ht="12.75">
      <c r="A224" s="1108">
        <f>A223+1</f>
        <v>150</v>
      </c>
      <c r="B224" s="1003" t="s">
        <v>849</v>
      </c>
      <c r="C224" s="772"/>
      <c r="D224" s="772"/>
      <c r="E224" s="772"/>
      <c r="F224" s="772"/>
      <c r="G224" s="772"/>
      <c r="H224" s="772"/>
      <c r="I224" s="772"/>
      <c r="J224" s="772"/>
    </row>
    <row r="225" spans="1:10" ht="12.75">
      <c r="A225" s="1108"/>
      <c r="B225" s="1042"/>
      <c r="C225" s="772"/>
      <c r="D225" s="772"/>
      <c r="E225" s="772"/>
      <c r="F225" s="772"/>
      <c r="G225" s="772"/>
      <c r="H225" s="772"/>
      <c r="I225" s="772"/>
      <c r="J225" s="772"/>
    </row>
    <row r="226" spans="1:10" ht="15">
      <c r="A226" s="1001" t="s">
        <v>796</v>
      </c>
      <c r="B226" s="1108"/>
      <c r="C226" s="1108"/>
      <c r="D226" s="1108"/>
      <c r="E226" s="1108"/>
      <c r="F226" s="1108"/>
      <c r="G226" s="1108"/>
      <c r="H226" s="1108"/>
      <c r="I226" s="1108"/>
      <c r="J226" s="1108"/>
    </row>
    <row r="227" spans="1:10" ht="12.75">
      <c r="A227" s="1108">
        <f>A224+1</f>
        <v>151</v>
      </c>
      <c r="B227" s="1042" t="str">
        <f>"LTD Capital Cost Rate (Ln "&amp;A197&amp;" / Ln "&amp;A186&amp;")"</f>
        <v>LTD Capital Cost Rate (Ln 132 / Ln 124)</v>
      </c>
      <c r="C227" s="772">
        <f aca="true" t="shared" si="78" ref="C227:J227">C197/C186</f>
        <v>0.049122413350725674</v>
      </c>
      <c r="D227" s="772"/>
      <c r="E227" s="772">
        <f t="shared" si="78"/>
        <v>0.05114358393183278</v>
      </c>
      <c r="F227" s="772">
        <f t="shared" si="78"/>
        <v>0.05214455621301775</v>
      </c>
      <c r="G227" s="772">
        <f t="shared" si="78"/>
        <v>0.0452</v>
      </c>
      <c r="H227" s="772">
        <f t="shared" si="78"/>
        <v>0.060260912453721366</v>
      </c>
      <c r="I227" s="772">
        <f t="shared" si="78"/>
        <v>0.03901805866666667</v>
      </c>
      <c r="J227" s="772">
        <f t="shared" si="78"/>
        <v>0.05217329409749061</v>
      </c>
    </row>
    <row r="228" spans="1:10" ht="12.75">
      <c r="A228" s="1108">
        <f>A227+1</f>
        <v>152</v>
      </c>
      <c r="B228" s="1042" t="str">
        <f>"Preferred Stock Capital Cost Rate (Ln "&amp;A201&amp;" / Ln "&amp;A200&amp;")"</f>
        <v>Preferred Stock Capital Cost Rate (Ln 134 / Ln 133)</v>
      </c>
      <c r="C228" s="772">
        <f aca="true" t="shared" si="79" ref="C228:J228">IF(C200=0,0,C201/C200)</f>
        <v>0</v>
      </c>
      <c r="D228" s="772"/>
      <c r="E228" s="772">
        <f t="shared" si="79"/>
        <v>0</v>
      </c>
      <c r="F228" s="772">
        <f t="shared" si="79"/>
        <v>0</v>
      </c>
      <c r="G228" s="772">
        <f t="shared" si="79"/>
        <v>0</v>
      </c>
      <c r="H228" s="772">
        <f t="shared" si="79"/>
        <v>0</v>
      </c>
      <c r="I228" s="772">
        <f t="shared" si="79"/>
        <v>0</v>
      </c>
      <c r="J228" s="772">
        <f t="shared" si="79"/>
        <v>0</v>
      </c>
    </row>
    <row r="229" spans="1:10" ht="12.75">
      <c r="A229" s="1108">
        <f>A228+1</f>
        <v>153</v>
      </c>
      <c r="B229" s="1042" t="s">
        <v>797</v>
      </c>
      <c r="C229" s="772">
        <f>TCOS!J260</f>
        <v>0.1149</v>
      </c>
      <c r="D229" s="772"/>
      <c r="E229" s="772">
        <f>C229</f>
        <v>0.1149</v>
      </c>
      <c r="F229" s="772">
        <f>E229</f>
        <v>0.1149</v>
      </c>
      <c r="G229" s="772">
        <f>F229</f>
        <v>0.1149</v>
      </c>
      <c r="H229" s="772">
        <f>G229</f>
        <v>0.1149</v>
      </c>
      <c r="I229" s="772">
        <f>H229</f>
        <v>0.1149</v>
      </c>
      <c r="J229" s="772">
        <f>I229</f>
        <v>0.1149</v>
      </c>
    </row>
    <row r="230" spans="1:10" ht="12.75">
      <c r="A230" s="1108"/>
      <c r="B230" s="1108"/>
      <c r="C230" s="1108"/>
      <c r="D230" s="1108"/>
      <c r="E230" s="1108"/>
      <c r="F230" s="1108"/>
      <c r="G230" s="1108"/>
      <c r="H230" s="1108"/>
      <c r="I230" s="1108"/>
      <c r="J230" s="1108"/>
    </row>
    <row r="231" spans="1:10" ht="15">
      <c r="A231" s="1001" t="s">
        <v>798</v>
      </c>
      <c r="B231" s="1108"/>
      <c r="C231" s="1108"/>
      <c r="D231" s="1108"/>
      <c r="E231" s="1108"/>
      <c r="F231" s="1108"/>
      <c r="G231" s="1108"/>
      <c r="H231" s="1108"/>
      <c r="I231" s="1108"/>
      <c r="J231" s="1108"/>
    </row>
    <row r="232" spans="1:10" ht="12.75">
      <c r="A232" s="1108">
        <f>A229+1</f>
        <v>154</v>
      </c>
      <c r="B232" s="1042" t="str">
        <f>"LTD Weighted Capital Cost Rate (Ln "&amp;A216&amp;" * Ln "&amp;A227&amp;")"</f>
        <v>LTD Weighted Capital Cost Rate (Ln 144 * Ln 151)</v>
      </c>
      <c r="C232" s="772">
        <f>C216*C227</f>
        <v>0.026417739181421446</v>
      </c>
      <c r="D232" s="772"/>
      <c r="E232" s="772">
        <f aca="true" t="shared" si="80" ref="E232:J232">E216*E227</f>
        <v>0.022497080189064055</v>
      </c>
      <c r="F232" s="772">
        <f t="shared" si="80"/>
        <v>0.029125279993951383</v>
      </c>
      <c r="G232" s="772">
        <f t="shared" si="80"/>
        <v>0.017918113251216772</v>
      </c>
      <c r="H232" s="772">
        <f t="shared" si="80"/>
        <v>0.030529824254614427</v>
      </c>
      <c r="I232" s="772">
        <f t="shared" si="80"/>
        <v>0.016644031023264626</v>
      </c>
      <c r="J232" s="772">
        <f t="shared" si="80"/>
        <v>0.026520498646068917</v>
      </c>
    </row>
    <row r="233" spans="1:10" ht="12.75">
      <c r="A233" s="1108">
        <f>A232+1</f>
        <v>155</v>
      </c>
      <c r="B233" s="1042" t="str">
        <f>"Preferred Stock Capital Cost Rate (Ln "&amp;A217&amp;" * Ln "&amp;A228&amp;")"</f>
        <v>Preferred Stock Capital Cost Rate (Ln 145 * Ln 152)</v>
      </c>
      <c r="C233" s="772">
        <f>C217*C228</f>
        <v>0</v>
      </c>
      <c r="D233" s="772"/>
      <c r="E233" s="772">
        <f aca="true" t="shared" si="81" ref="E233:J233">E217*E228</f>
        <v>0</v>
      </c>
      <c r="F233" s="772">
        <f t="shared" si="81"/>
        <v>0</v>
      </c>
      <c r="G233" s="772">
        <f t="shared" si="81"/>
        <v>0</v>
      </c>
      <c r="H233" s="772">
        <f t="shared" si="81"/>
        <v>0</v>
      </c>
      <c r="I233" s="772">
        <f t="shared" si="81"/>
        <v>0</v>
      </c>
      <c r="J233" s="772">
        <f t="shared" si="81"/>
        <v>0</v>
      </c>
    </row>
    <row r="234" spans="1:10" ht="12.75">
      <c r="A234" s="1108">
        <f>A233+1</f>
        <v>156</v>
      </c>
      <c r="B234" s="1042" t="str">
        <f>"Common Equity Capital Cost Rate (Ln "&amp;A218&amp;" * Ln "&amp;A229&amp;")"</f>
        <v>Common Equity Capital Cost Rate (Ln 146 * Ln 153)</v>
      </c>
      <c r="C234" s="1123">
        <f>C218*C229</f>
        <v>0.053107469362852815</v>
      </c>
      <c r="D234" s="1123"/>
      <c r="E234" s="1123">
        <f aca="true" t="shared" si="82" ref="E234:J234">E218*E229</f>
        <v>0.06435769703646915</v>
      </c>
      <c r="F234" s="1123">
        <f t="shared" si="82"/>
        <v>0.05072274134937272</v>
      </c>
      <c r="G234" s="1123">
        <f t="shared" si="82"/>
        <v>0.06935152184591135</v>
      </c>
      <c r="H234" s="1123">
        <f t="shared" si="82"/>
        <v>0.056688521547045186</v>
      </c>
      <c r="I234" s="1123">
        <f t="shared" si="82"/>
        <v>0.06588681918260382</v>
      </c>
      <c r="J234" s="1123">
        <f t="shared" si="82"/>
        <v>0.05649453898503448</v>
      </c>
    </row>
    <row r="235" spans="1:10" ht="12.75">
      <c r="A235" s="1108">
        <f>A234+1</f>
        <v>157</v>
      </c>
      <c r="B235" s="1116" t="s">
        <v>112</v>
      </c>
      <c r="C235" s="1124">
        <f aca="true" t="shared" si="83" ref="C235:J235">SUM(C232:C234)</f>
        <v>0.07952520854427426</v>
      </c>
      <c r="D235" s="1124"/>
      <c r="E235" s="1124">
        <f t="shared" si="83"/>
        <v>0.08685477722553321</v>
      </c>
      <c r="F235" s="1124">
        <f t="shared" si="83"/>
        <v>0.07984802134332411</v>
      </c>
      <c r="G235" s="1124">
        <f t="shared" si="83"/>
        <v>0.08726963509712812</v>
      </c>
      <c r="H235" s="1124">
        <f t="shared" si="83"/>
        <v>0.08721834580165962</v>
      </c>
      <c r="I235" s="1124">
        <f t="shared" si="83"/>
        <v>0.08253085020586845</v>
      </c>
      <c r="J235" s="1124">
        <f t="shared" si="83"/>
        <v>0.0830150376311034</v>
      </c>
    </row>
    <row r="236" spans="1:10" ht="12.75">
      <c r="A236" s="1108"/>
      <c r="B236" s="1114"/>
      <c r="C236" s="1108"/>
      <c r="D236" s="1108"/>
      <c r="E236" s="1108"/>
      <c r="F236" s="1108"/>
      <c r="G236" s="1108"/>
      <c r="H236" s="1108"/>
      <c r="I236" s="1108"/>
      <c r="J236" s="1108"/>
    </row>
    <row r="237" spans="1:10" ht="12.75">
      <c r="A237" s="1108"/>
      <c r="B237" s="1108"/>
      <c r="C237" s="1108"/>
      <c r="D237" s="1108"/>
      <c r="E237" s="1108"/>
      <c r="F237" s="1108"/>
      <c r="G237" s="1108"/>
      <c r="H237" s="1108"/>
      <c r="I237" s="1108"/>
      <c r="J237" s="1108"/>
    </row>
  </sheetData>
  <sheetProtection password="CA99" sheet="1" objects="1" scenarios="1"/>
  <mergeCells count="12">
    <mergeCell ref="B14:J14"/>
    <mergeCell ref="A1:J1"/>
    <mergeCell ref="A2:J2"/>
    <mergeCell ref="A3:J3"/>
    <mergeCell ref="A88:J88"/>
    <mergeCell ref="A89:J89"/>
    <mergeCell ref="A90:J90"/>
    <mergeCell ref="B101:J101"/>
    <mergeCell ref="A175:J175"/>
    <mergeCell ref="A176:J176"/>
    <mergeCell ref="A177:J177"/>
    <mergeCell ref="B188:J188"/>
  </mergeCells>
  <printOptions/>
  <pageMargins left="0.5" right="0.5" top="1" bottom="1" header="0.5" footer="0.5"/>
  <pageSetup fitToHeight="0" fitToWidth="1" horizontalDpi="600" verticalDpi="600" orientation="portrait" scale="53" r:id="rId1"/>
  <headerFooter alignWithMargins="0">
    <oddHeader>&amp;RFormula Rate 
&amp;A
Page &amp;P of &amp;N</oddHeader>
  </headerFooter>
  <rowBreaks count="2" manualBreakCount="2">
    <brk id="87" max="9" man="1"/>
    <brk id="174" max="9" man="1"/>
  </rowBreaks>
  <ignoredErrors>
    <ignoredError sqref="J58" unlockedFormula="1"/>
  </ignoredErrors>
</worksheet>
</file>

<file path=xl/worksheets/sheet21.xml><?xml version="1.0" encoding="utf-8"?>
<worksheet xmlns="http://schemas.openxmlformats.org/spreadsheetml/2006/main" xmlns:r="http://schemas.openxmlformats.org/officeDocument/2006/relationships">
  <sheetPr>
    <tabColor rgb="FFCCFFFF"/>
  </sheetPr>
  <dimension ref="B1:L57"/>
  <sheetViews>
    <sheetView view="pageBreakPreview" zoomScale="60" zoomScalePageLayoutView="0" workbookViewId="0" topLeftCell="A1">
      <selection activeCell="B16" sqref="B16"/>
    </sheetView>
  </sheetViews>
  <sheetFormatPr defaultColWidth="8.8515625" defaultRowHeight="12.75"/>
  <cols>
    <col min="1" max="1" width="8.8515625" style="352" customWidth="1"/>
    <col min="2" max="2" width="30.28125" style="352" customWidth="1"/>
    <col min="3" max="3" width="10.8515625" style="352" customWidth="1"/>
    <col min="4" max="4" width="16.00390625" style="352" customWidth="1"/>
    <col min="5" max="5" width="22.00390625" style="352" customWidth="1"/>
    <col min="6" max="6" width="8.8515625" style="352" customWidth="1"/>
    <col min="7" max="7" width="12.7109375" style="352" customWidth="1"/>
    <col min="8" max="8" width="21.57421875" style="352" customWidth="1"/>
    <col min="9" max="9" width="18.28125" style="352" customWidth="1"/>
    <col min="10" max="10" width="19.57421875" style="352" customWidth="1"/>
    <col min="11" max="11" width="5.57421875" style="352" customWidth="1"/>
    <col min="12" max="12" width="18.7109375" style="352" customWidth="1"/>
    <col min="13" max="16384" width="8.8515625" style="352" customWidth="1"/>
  </cols>
  <sheetData>
    <row r="1" spans="2:12" ht="15.75">
      <c r="B1" s="1321" t="s">
        <v>936</v>
      </c>
      <c r="C1" s="1321"/>
      <c r="D1" s="1321"/>
      <c r="E1" s="1321"/>
      <c r="F1" s="1321"/>
      <c r="G1" s="1321"/>
      <c r="H1" s="1321"/>
      <c r="I1" s="1321"/>
      <c r="J1" s="1321"/>
      <c r="K1" s="1321"/>
      <c r="L1" s="1321"/>
    </row>
    <row r="2" spans="2:12" ht="15.75">
      <c r="B2" s="1322" t="s">
        <v>848</v>
      </c>
      <c r="C2" s="1322"/>
      <c r="D2" s="1322"/>
      <c r="E2" s="1322"/>
      <c r="F2" s="1322"/>
      <c r="G2" s="1322"/>
      <c r="H2" s="1322"/>
      <c r="I2" s="1322"/>
      <c r="J2" s="1322"/>
      <c r="K2" s="1322"/>
      <c r="L2" s="1322"/>
    </row>
    <row r="3" spans="2:12" ht="18">
      <c r="B3" s="1323" t="s">
        <v>878</v>
      </c>
      <c r="C3" s="1323"/>
      <c r="D3" s="1323"/>
      <c r="E3" s="1323"/>
      <c r="F3" s="1323"/>
      <c r="G3" s="1323"/>
      <c r="H3" s="1323"/>
      <c r="I3" s="1323"/>
      <c r="J3" s="1323"/>
      <c r="K3" s="1323"/>
      <c r="L3" s="1323"/>
    </row>
    <row r="4" spans="2:12" ht="15.75">
      <c r="B4" s="549"/>
      <c r="C4" s="549"/>
      <c r="D4" s="549"/>
      <c r="E4" s="1322"/>
      <c r="F4" s="1322"/>
      <c r="G4" s="1322"/>
      <c r="H4" s="1322"/>
      <c r="I4" s="549"/>
      <c r="J4" s="549"/>
      <c r="K4" s="549"/>
      <c r="L4" s="549"/>
    </row>
    <row r="5" spans="2:12" ht="12.75">
      <c r="B5" s="548"/>
      <c r="C5" s="548"/>
      <c r="D5" s="548"/>
      <c r="E5" s="548"/>
      <c r="F5" s="548"/>
      <c r="G5" s="548"/>
      <c r="H5" s="548"/>
      <c r="I5" s="548"/>
      <c r="J5" s="548"/>
      <c r="K5" s="548"/>
      <c r="L5" s="548"/>
    </row>
    <row r="6" spans="2:12" ht="12.75">
      <c r="B6" s="548"/>
      <c r="C6" s="548"/>
      <c r="D6" s="548"/>
      <c r="E6" s="548"/>
      <c r="F6" s="548"/>
      <c r="G6" s="548"/>
      <c r="H6" s="548"/>
      <c r="I6" s="548"/>
      <c r="J6" s="548"/>
      <c r="K6" s="548"/>
      <c r="L6" s="548"/>
    </row>
    <row r="7" spans="2:12" ht="16.5" thickBot="1">
      <c r="B7" s="1129"/>
      <c r="C7" s="1130"/>
      <c r="D7" s="1130"/>
      <c r="E7" s="1130"/>
      <c r="F7" s="1130"/>
      <c r="G7" s="1130"/>
      <c r="H7" s="1130"/>
      <c r="I7" s="1130"/>
      <c r="J7" s="1130"/>
      <c r="K7" s="1130"/>
      <c r="L7" s="1130"/>
    </row>
    <row r="8" spans="2:12" ht="95.25" customHeight="1">
      <c r="B8" s="1164" t="str">
        <f>"Reconciliation Revenue Requirement For Year "&amp;TCOS!L2+1&amp;" Available May 25, "&amp;TCOS!L2+2&amp;""</f>
        <v>Reconciliation Revenue Requirement For Year 2018 Available May 25, 2019</v>
      </c>
      <c r="C8" s="1130"/>
      <c r="D8" s="1130"/>
      <c r="E8" s="1164" t="str">
        <f>""&amp;TCOS!L2+1&amp;" Revenue Requirement Forecast by  October 31,  "&amp;TCOS!L2&amp;""</f>
        <v>2018 Revenue Requirement Forecast by  October 31,  2017</v>
      </c>
      <c r="F8" s="1130"/>
      <c r="G8" s="1130"/>
      <c r="H8" s="549"/>
      <c r="I8" s="1164" t="s">
        <v>850</v>
      </c>
      <c r="J8" s="549"/>
      <c r="K8" s="549"/>
      <c r="L8" s="1166" t="s">
        <v>637</v>
      </c>
    </row>
    <row r="9" spans="2:12" ht="15.75">
      <c r="B9" s="1131" t="s">
        <v>637</v>
      </c>
      <c r="C9" s="1130"/>
      <c r="D9" s="1130"/>
      <c r="E9" s="1131"/>
      <c r="F9" s="1130"/>
      <c r="G9" s="1130"/>
      <c r="H9" s="549"/>
      <c r="I9" s="1132"/>
      <c r="J9" s="549"/>
      <c r="K9" s="549"/>
      <c r="L9" s="1165"/>
    </row>
    <row r="10" spans="2:12" ht="24" thickBot="1">
      <c r="B10" s="1128">
        <v>16000000</v>
      </c>
      <c r="C10" s="1162" t="str">
        <f>"-"</f>
        <v>-</v>
      </c>
      <c r="D10" s="1133"/>
      <c r="E10" s="1128">
        <v>15000000</v>
      </c>
      <c r="F10" s="1134"/>
      <c r="G10" s="1163" t="str">
        <f>"="</f>
        <v>=</v>
      </c>
      <c r="H10" s="1135"/>
      <c r="I10" s="1136">
        <f>IF(B10=0,0,E10-B10)</f>
        <v>-1000000</v>
      </c>
      <c r="J10" s="549"/>
      <c r="K10" s="549"/>
      <c r="L10" s="549"/>
    </row>
    <row r="11" spans="2:12" ht="15.75">
      <c r="B11" s="1137"/>
      <c r="C11" s="1138"/>
      <c r="D11" s="1138"/>
      <c r="E11" s="1137"/>
      <c r="F11" s="1137"/>
      <c r="G11" s="1138"/>
      <c r="H11" s="1137"/>
      <c r="I11" s="549"/>
      <c r="J11" s="549"/>
      <c r="K11" s="549"/>
      <c r="L11" s="549"/>
    </row>
    <row r="12" spans="2:12" ht="16.5" thickBot="1">
      <c r="B12" s="1139"/>
      <c r="C12" s="1140"/>
      <c r="D12" s="1140"/>
      <c r="E12" s="1139"/>
      <c r="F12" s="1139"/>
      <c r="G12" s="1140"/>
      <c r="H12" s="1139"/>
      <c r="I12" s="1141"/>
      <c r="J12" s="1141"/>
      <c r="K12" s="1141"/>
      <c r="L12" s="1141"/>
    </row>
    <row r="13" spans="2:12" ht="15.75">
      <c r="B13" s="1142"/>
      <c r="C13" s="1138"/>
      <c r="D13" s="1138"/>
      <c r="E13" s="1137"/>
      <c r="F13" s="1137"/>
      <c r="G13" s="1138"/>
      <c r="H13" s="1137"/>
      <c r="I13" s="549"/>
      <c r="J13" s="549"/>
      <c r="K13" s="549"/>
      <c r="L13" s="549"/>
    </row>
    <row r="14" spans="2:12" ht="47.25">
      <c r="B14" s="1143" t="s">
        <v>948</v>
      </c>
      <c r="C14" s="1138"/>
      <c r="D14" s="1138"/>
      <c r="E14" s="1144" t="s">
        <v>851</v>
      </c>
      <c r="F14" s="1137"/>
      <c r="G14" s="1144" t="s">
        <v>852</v>
      </c>
      <c r="H14" s="1145" t="s">
        <v>853</v>
      </c>
      <c r="I14" s="1146" t="s">
        <v>854</v>
      </c>
      <c r="J14" s="1144" t="s">
        <v>855</v>
      </c>
      <c r="K14" s="1147"/>
      <c r="L14" s="1144" t="s">
        <v>856</v>
      </c>
    </row>
    <row r="15" spans="2:12" ht="15.75">
      <c r="B15" s="1143" t="s">
        <v>958</v>
      </c>
      <c r="C15" s="1138"/>
      <c r="D15" s="1138"/>
      <c r="E15" s="549"/>
      <c r="F15" s="1148"/>
      <c r="G15" s="1167">
        <v>0.0055</v>
      </c>
      <c r="I15" s="549"/>
      <c r="J15" s="549"/>
      <c r="K15" s="549"/>
      <c r="L15" s="549"/>
    </row>
    <row r="16" spans="2:12" ht="15.75">
      <c r="B16" s="1143"/>
      <c r="C16" s="1138"/>
      <c r="D16" s="1138"/>
      <c r="E16" s="549"/>
      <c r="F16" s="1148"/>
      <c r="G16" s="1148"/>
      <c r="H16" s="1137"/>
      <c r="I16" s="549"/>
      <c r="J16" s="549"/>
      <c r="K16" s="549"/>
      <c r="L16" s="549"/>
    </row>
    <row r="17" spans="2:12" ht="15.75">
      <c r="B17" s="1143" t="str">
        <f>"An over or under collection will be recovered prorata over "&amp;TCOS!L2+1&amp;", held for "&amp;TCOS!L2+2&amp;" and returned prorate over "&amp;TCOS!L2+3&amp;""</f>
        <v>An over or under collection will be recovered prorata over 2018, held for 2019 and returned prorate over 2020</v>
      </c>
      <c r="C17" s="1138"/>
      <c r="D17" s="1138"/>
      <c r="E17" s="549"/>
      <c r="F17" s="1148"/>
      <c r="G17" s="1148"/>
      <c r="H17" s="1137"/>
      <c r="I17" s="549"/>
      <c r="J17" s="549"/>
      <c r="K17" s="549"/>
      <c r="L17" s="549"/>
    </row>
    <row r="18" spans="2:12" ht="15.75">
      <c r="B18" s="1149" t="s">
        <v>637</v>
      </c>
      <c r="C18" s="1138"/>
      <c r="D18" s="1138"/>
      <c r="E18" s="1138"/>
      <c r="F18" s="1138"/>
      <c r="G18" s="1138" t="s">
        <v>637</v>
      </c>
      <c r="H18" s="549"/>
      <c r="I18" s="549"/>
      <c r="J18" s="549"/>
      <c r="K18" s="549"/>
      <c r="L18" s="549"/>
    </row>
    <row r="19" spans="2:12" ht="15.75">
      <c r="B19" s="1150"/>
      <c r="C19" s="1138"/>
      <c r="D19" s="1138"/>
      <c r="E19" s="1138"/>
      <c r="F19" s="1138"/>
      <c r="G19" s="549"/>
      <c r="H19" s="549"/>
      <c r="I19" s="1145"/>
      <c r="J19" s="1138"/>
      <c r="K19" s="1138"/>
      <c r="L19" s="1138"/>
    </row>
    <row r="20" spans="2:12" ht="15.75">
      <c r="B20" s="1150" t="s">
        <v>857</v>
      </c>
      <c r="C20" s="1138"/>
      <c r="D20" s="1138"/>
      <c r="E20" s="1138"/>
      <c r="F20" s="1138"/>
      <c r="G20" s="549"/>
      <c r="H20" s="549"/>
      <c r="I20" s="1145" t="s">
        <v>858</v>
      </c>
      <c r="J20" s="1138"/>
      <c r="K20" s="1138"/>
      <c r="L20" s="1138"/>
    </row>
    <row r="21" spans="2:12" ht="15.75">
      <c r="B21" s="1130" t="s">
        <v>859</v>
      </c>
      <c r="C21" s="1130" t="str">
        <f>"Year "&amp;TCOS!L2+1&amp;""</f>
        <v>Year 2018</v>
      </c>
      <c r="D21" s="1130"/>
      <c r="E21" s="1151">
        <f>I10/12</f>
        <v>-83333.33333333333</v>
      </c>
      <c r="F21" s="1151"/>
      <c r="G21" s="1152">
        <f>+G15</f>
        <v>0.0055</v>
      </c>
      <c r="H21" s="1153">
        <v>12</v>
      </c>
      <c r="I21" s="1151">
        <f>G21*E21*H21*-1</f>
        <v>5499.999999999999</v>
      </c>
      <c r="J21" s="1151"/>
      <c r="K21" s="1151"/>
      <c r="L21" s="1151">
        <f>(-I21+E21)*-1</f>
        <v>88833.33333333333</v>
      </c>
    </row>
    <row r="22" spans="2:12" ht="15.75">
      <c r="B22" s="1130" t="s">
        <v>860</v>
      </c>
      <c r="C22" s="1130" t="str">
        <f>C21</f>
        <v>Year 2018</v>
      </c>
      <c r="D22" s="1130"/>
      <c r="E22" s="1151">
        <f>+E21</f>
        <v>-83333.33333333333</v>
      </c>
      <c r="F22" s="1151"/>
      <c r="G22" s="1152">
        <f>+G21</f>
        <v>0.0055</v>
      </c>
      <c r="H22" s="1153">
        <f aca="true" t="shared" si="0" ref="H22:H32">+H21-1</f>
        <v>11</v>
      </c>
      <c r="I22" s="1151">
        <f aca="true" t="shared" si="1" ref="I22:I32">G22*E22*H22*-1</f>
        <v>5041.666666666666</v>
      </c>
      <c r="J22" s="1151"/>
      <c r="K22" s="1151"/>
      <c r="L22" s="1151">
        <f aca="true" t="shared" si="2" ref="L22:L32">(-I22+E22)*-1</f>
        <v>88375</v>
      </c>
    </row>
    <row r="23" spans="2:12" ht="15.75">
      <c r="B23" s="1130" t="s">
        <v>861</v>
      </c>
      <c r="C23" s="1130" t="str">
        <f>C21</f>
        <v>Year 2018</v>
      </c>
      <c r="D23" s="1130"/>
      <c r="E23" s="1151">
        <f aca="true" t="shared" si="3" ref="E23:E32">+E22</f>
        <v>-83333.33333333333</v>
      </c>
      <c r="F23" s="1151"/>
      <c r="G23" s="1152">
        <f aca="true" t="shared" si="4" ref="G23:G32">+G22</f>
        <v>0.0055</v>
      </c>
      <c r="H23" s="1153">
        <f t="shared" si="0"/>
        <v>10</v>
      </c>
      <c r="I23" s="1151">
        <f t="shared" si="1"/>
        <v>4583.333333333332</v>
      </c>
      <c r="J23" s="1151"/>
      <c r="K23" s="1151"/>
      <c r="L23" s="1151">
        <f t="shared" si="2"/>
        <v>87916.66666666666</v>
      </c>
    </row>
    <row r="24" spans="2:12" ht="15.75">
      <c r="B24" s="1130" t="s">
        <v>862</v>
      </c>
      <c r="C24" s="1130" t="str">
        <f>C21</f>
        <v>Year 2018</v>
      </c>
      <c r="D24" s="1130"/>
      <c r="E24" s="1151">
        <f t="shared" si="3"/>
        <v>-83333.33333333333</v>
      </c>
      <c r="F24" s="1151"/>
      <c r="G24" s="1152">
        <f t="shared" si="4"/>
        <v>0.0055</v>
      </c>
      <c r="H24" s="1153">
        <f t="shared" si="0"/>
        <v>9</v>
      </c>
      <c r="I24" s="1151">
        <f t="shared" si="1"/>
        <v>4124.999999999999</v>
      </c>
      <c r="J24" s="1151"/>
      <c r="K24" s="1151"/>
      <c r="L24" s="1151">
        <f t="shared" si="2"/>
        <v>87458.33333333333</v>
      </c>
    </row>
    <row r="25" spans="2:12" ht="15.75">
      <c r="B25" s="1130" t="s">
        <v>863</v>
      </c>
      <c r="C25" s="1130" t="str">
        <f>C21</f>
        <v>Year 2018</v>
      </c>
      <c r="D25" s="1130"/>
      <c r="E25" s="1151">
        <f t="shared" si="3"/>
        <v>-83333.33333333333</v>
      </c>
      <c r="F25" s="1151"/>
      <c r="G25" s="1152">
        <f t="shared" si="4"/>
        <v>0.0055</v>
      </c>
      <c r="H25" s="1153">
        <f t="shared" si="0"/>
        <v>8</v>
      </c>
      <c r="I25" s="1151">
        <f t="shared" si="1"/>
        <v>3666.666666666666</v>
      </c>
      <c r="J25" s="1151"/>
      <c r="K25" s="1151"/>
      <c r="L25" s="1151">
        <f t="shared" si="2"/>
        <v>87000</v>
      </c>
    </row>
    <row r="26" spans="2:12" ht="15.75">
      <c r="B26" s="1130" t="s">
        <v>864</v>
      </c>
      <c r="C26" s="1130" t="str">
        <f>C21</f>
        <v>Year 2018</v>
      </c>
      <c r="D26" s="1130"/>
      <c r="E26" s="1151">
        <f t="shared" si="3"/>
        <v>-83333.33333333333</v>
      </c>
      <c r="F26" s="1151"/>
      <c r="G26" s="1152">
        <f t="shared" si="4"/>
        <v>0.0055</v>
      </c>
      <c r="H26" s="1153">
        <f t="shared" si="0"/>
        <v>7</v>
      </c>
      <c r="I26" s="1151">
        <f t="shared" si="1"/>
        <v>3208.333333333333</v>
      </c>
      <c r="J26" s="1151"/>
      <c r="K26" s="1151"/>
      <c r="L26" s="1151">
        <f t="shared" si="2"/>
        <v>86541.66666666666</v>
      </c>
    </row>
    <row r="27" spans="2:12" ht="15.75">
      <c r="B27" s="1130" t="s">
        <v>865</v>
      </c>
      <c r="C27" s="1130" t="str">
        <f>C21</f>
        <v>Year 2018</v>
      </c>
      <c r="D27" s="1130"/>
      <c r="E27" s="1151">
        <f t="shared" si="3"/>
        <v>-83333.33333333333</v>
      </c>
      <c r="F27" s="1151"/>
      <c r="G27" s="1152">
        <f t="shared" si="4"/>
        <v>0.0055</v>
      </c>
      <c r="H27" s="1153">
        <f t="shared" si="0"/>
        <v>6</v>
      </c>
      <c r="I27" s="1151">
        <f t="shared" si="1"/>
        <v>2749.9999999999995</v>
      </c>
      <c r="J27" s="1151"/>
      <c r="K27" s="1151"/>
      <c r="L27" s="1151">
        <f t="shared" si="2"/>
        <v>86083.33333333333</v>
      </c>
    </row>
    <row r="28" spans="2:12" ht="15.75">
      <c r="B28" s="1130" t="s">
        <v>866</v>
      </c>
      <c r="C28" s="1130" t="str">
        <f>C21</f>
        <v>Year 2018</v>
      </c>
      <c r="D28" s="1130"/>
      <c r="E28" s="1151">
        <f t="shared" si="3"/>
        <v>-83333.33333333333</v>
      </c>
      <c r="F28" s="1151"/>
      <c r="G28" s="1152">
        <f t="shared" si="4"/>
        <v>0.0055</v>
      </c>
      <c r="H28" s="1153">
        <f t="shared" si="0"/>
        <v>5</v>
      </c>
      <c r="I28" s="1151">
        <f t="shared" si="1"/>
        <v>2291.666666666666</v>
      </c>
      <c r="J28" s="1151"/>
      <c r="K28" s="1151"/>
      <c r="L28" s="1151">
        <f t="shared" si="2"/>
        <v>85625</v>
      </c>
    </row>
    <row r="29" spans="2:12" ht="15.75">
      <c r="B29" s="1130" t="s">
        <v>867</v>
      </c>
      <c r="C29" s="1130" t="str">
        <f>C21</f>
        <v>Year 2018</v>
      </c>
      <c r="D29" s="1130"/>
      <c r="E29" s="1151">
        <f t="shared" si="3"/>
        <v>-83333.33333333333</v>
      </c>
      <c r="F29" s="1151"/>
      <c r="G29" s="1152">
        <f t="shared" si="4"/>
        <v>0.0055</v>
      </c>
      <c r="H29" s="1153">
        <f t="shared" si="0"/>
        <v>4</v>
      </c>
      <c r="I29" s="1151">
        <f t="shared" si="1"/>
        <v>1833.333333333333</v>
      </c>
      <c r="J29" s="1151"/>
      <c r="K29" s="1151"/>
      <c r="L29" s="1151">
        <f t="shared" si="2"/>
        <v>85166.66666666666</v>
      </c>
    </row>
    <row r="30" spans="2:12" ht="15.75">
      <c r="B30" s="1130" t="s">
        <v>868</v>
      </c>
      <c r="C30" s="1130" t="str">
        <f>C21</f>
        <v>Year 2018</v>
      </c>
      <c r="D30" s="1130"/>
      <c r="E30" s="1151">
        <f t="shared" si="3"/>
        <v>-83333.33333333333</v>
      </c>
      <c r="F30" s="1151"/>
      <c r="G30" s="1152">
        <f t="shared" si="4"/>
        <v>0.0055</v>
      </c>
      <c r="H30" s="1153">
        <f t="shared" si="0"/>
        <v>3</v>
      </c>
      <c r="I30" s="1151">
        <f t="shared" si="1"/>
        <v>1374.9999999999998</v>
      </c>
      <c r="J30" s="1151"/>
      <c r="K30" s="1151"/>
      <c r="L30" s="1151">
        <f t="shared" si="2"/>
        <v>84708.33333333333</v>
      </c>
    </row>
    <row r="31" spans="2:12" ht="15.75">
      <c r="B31" s="1130" t="s">
        <v>869</v>
      </c>
      <c r="C31" s="1130" t="str">
        <f>C21</f>
        <v>Year 2018</v>
      </c>
      <c r="D31" s="1130"/>
      <c r="E31" s="1151">
        <f t="shared" si="3"/>
        <v>-83333.33333333333</v>
      </c>
      <c r="F31" s="1151"/>
      <c r="G31" s="1152">
        <f t="shared" si="4"/>
        <v>0.0055</v>
      </c>
      <c r="H31" s="1153">
        <f t="shared" si="0"/>
        <v>2</v>
      </c>
      <c r="I31" s="1151">
        <f t="shared" si="1"/>
        <v>916.6666666666665</v>
      </c>
      <c r="J31" s="1151"/>
      <c r="K31" s="1151"/>
      <c r="L31" s="1151">
        <f t="shared" si="2"/>
        <v>84250</v>
      </c>
    </row>
    <row r="32" spans="2:12" ht="15.75">
      <c r="B32" s="1130" t="s">
        <v>870</v>
      </c>
      <c r="C32" s="1130" t="str">
        <f>C21</f>
        <v>Year 2018</v>
      </c>
      <c r="D32" s="1130"/>
      <c r="E32" s="1151">
        <f t="shared" si="3"/>
        <v>-83333.33333333333</v>
      </c>
      <c r="F32" s="1151"/>
      <c r="G32" s="1152">
        <f t="shared" si="4"/>
        <v>0.0055</v>
      </c>
      <c r="H32" s="1153">
        <f t="shared" si="0"/>
        <v>1</v>
      </c>
      <c r="I32" s="1154">
        <f t="shared" si="1"/>
        <v>458.33333333333326</v>
      </c>
      <c r="J32" s="1151"/>
      <c r="K32" s="1151"/>
      <c r="L32" s="1151">
        <f t="shared" si="2"/>
        <v>83791.66666666666</v>
      </c>
    </row>
    <row r="33" spans="2:12" ht="15.75">
      <c r="B33" s="1130"/>
      <c r="C33" s="1130"/>
      <c r="D33" s="1130"/>
      <c r="E33" s="1151"/>
      <c r="F33" s="1151"/>
      <c r="G33" s="1152"/>
      <c r="H33" s="1130"/>
      <c r="I33" s="1151">
        <f>SUM(I21:I32)</f>
        <v>35750</v>
      </c>
      <c r="J33" s="1151"/>
      <c r="K33" s="1151"/>
      <c r="L33" s="1155">
        <f>SUM(L21:L32)</f>
        <v>1035750</v>
      </c>
    </row>
    <row r="34" spans="2:12" ht="15.75">
      <c r="B34" s="1130"/>
      <c r="C34" s="1130"/>
      <c r="D34" s="1130"/>
      <c r="E34" s="1151"/>
      <c r="F34" s="1151"/>
      <c r="G34" s="1152"/>
      <c r="H34" s="1130"/>
      <c r="I34" s="1151"/>
      <c r="J34" s="1151" t="s">
        <v>637</v>
      </c>
      <c r="K34" s="1151"/>
      <c r="L34" s="549"/>
    </row>
    <row r="35" spans="2:12" ht="15.75">
      <c r="B35" s="1130"/>
      <c r="C35" s="1130"/>
      <c r="D35" s="1130"/>
      <c r="E35" s="1137"/>
      <c r="F35" s="1137"/>
      <c r="G35" s="1152"/>
      <c r="H35" s="1130"/>
      <c r="I35" s="1156" t="s">
        <v>871</v>
      </c>
      <c r="J35" s="1151"/>
      <c r="K35" s="1151"/>
      <c r="L35" s="1151"/>
    </row>
    <row r="36" spans="2:12" ht="15.75">
      <c r="B36" s="1130" t="s">
        <v>872</v>
      </c>
      <c r="C36" s="1130" t="str">
        <f>"Year "&amp;TCOS!L2+2&amp;""</f>
        <v>Year 2019</v>
      </c>
      <c r="D36" s="1130"/>
      <c r="E36" s="1137">
        <f>L33</f>
        <v>1035750</v>
      </c>
      <c r="F36" s="1137"/>
      <c r="G36" s="1152">
        <f>+G32</f>
        <v>0.0055</v>
      </c>
      <c r="H36" s="1153">
        <v>12</v>
      </c>
      <c r="I36" s="1151">
        <f>+H36*G36*E36</f>
        <v>68359.5</v>
      </c>
      <c r="J36" s="1151"/>
      <c r="K36" s="1151"/>
      <c r="L36" s="1155">
        <f>+E36+I36</f>
        <v>1104109.5</v>
      </c>
    </row>
    <row r="37" spans="2:12" ht="15.75">
      <c r="B37" s="1130"/>
      <c r="C37" s="1130"/>
      <c r="D37" s="1130"/>
      <c r="E37" s="1137"/>
      <c r="F37" s="1137"/>
      <c r="G37" s="1152"/>
      <c r="H37" s="1130"/>
      <c r="I37" s="1151"/>
      <c r="J37" s="1151"/>
      <c r="K37" s="1151"/>
      <c r="L37" s="1151"/>
    </row>
    <row r="38" spans="2:12" ht="15.75">
      <c r="B38" s="1157" t="s">
        <v>873</v>
      </c>
      <c r="C38" s="1130"/>
      <c r="D38" s="1130"/>
      <c r="E38" s="1151"/>
      <c r="F38" s="1151"/>
      <c r="G38" s="1152"/>
      <c r="H38" s="1130"/>
      <c r="I38" s="1156" t="s">
        <v>858</v>
      </c>
      <c r="J38" s="1151"/>
      <c r="K38" s="1151"/>
      <c r="L38" s="1151"/>
    </row>
    <row r="39" spans="2:12" ht="15.75">
      <c r="B39" s="1130" t="s">
        <v>859</v>
      </c>
      <c r="C39" s="1130" t="str">
        <f>"Year "&amp;TCOS!L2+3&amp;""</f>
        <v>Year 2020</v>
      </c>
      <c r="D39" s="1130"/>
      <c r="E39" s="1158">
        <f>-L36</f>
        <v>-1104109.5</v>
      </c>
      <c r="F39" s="1137"/>
      <c r="G39" s="1152">
        <f>+G32</f>
        <v>0.0055</v>
      </c>
      <c r="H39" s="1153" t="s">
        <v>637</v>
      </c>
      <c r="I39" s="1151">
        <f>-G39*E39</f>
        <v>6072.60225</v>
      </c>
      <c r="J39" s="1151">
        <f>PMT(G39,12,L$36)</f>
        <v>-95331.52530969579</v>
      </c>
      <c r="K39" s="1151"/>
      <c r="L39" s="1151">
        <f>(+E39+E39*G39-J39)*-1</f>
        <v>1014850.5769403043</v>
      </c>
    </row>
    <row r="40" spans="2:12" ht="15.75">
      <c r="B40" s="1130" t="s">
        <v>860</v>
      </c>
      <c r="C40" s="1130" t="str">
        <f>+C39</f>
        <v>Year 2020</v>
      </c>
      <c r="D40" s="1130"/>
      <c r="E40" s="1137">
        <f>-L39</f>
        <v>-1014850.5769403043</v>
      </c>
      <c r="F40" s="1137"/>
      <c r="G40" s="1152">
        <f>+G39</f>
        <v>0.0055</v>
      </c>
      <c r="H40" s="1153" t="s">
        <v>637</v>
      </c>
      <c r="I40" s="1151">
        <f>-G40*E40</f>
        <v>5581.678173171673</v>
      </c>
      <c r="J40" s="1151">
        <f>J39</f>
        <v>-95331.52530969579</v>
      </c>
      <c r="K40" s="1151"/>
      <c r="L40" s="1151">
        <f aca="true" t="shared" si="5" ref="L40:L50">(+E40+E40*G40-J40)*-1</f>
        <v>925100.7298037802</v>
      </c>
    </row>
    <row r="41" spans="2:12" ht="15.75">
      <c r="B41" s="1130" t="s">
        <v>861</v>
      </c>
      <c r="C41" s="1130" t="str">
        <f>+C40</f>
        <v>Year 2020</v>
      </c>
      <c r="D41" s="1130"/>
      <c r="E41" s="1137">
        <f aca="true" t="shared" si="6" ref="E41:E50">-L40</f>
        <v>-925100.7298037802</v>
      </c>
      <c r="F41" s="1137"/>
      <c r="G41" s="1152">
        <f aca="true" t="shared" si="7" ref="G41:G50">+G40</f>
        <v>0.0055</v>
      </c>
      <c r="H41" s="1153" t="s">
        <v>637</v>
      </c>
      <c r="I41" s="1151">
        <f aca="true" t="shared" si="8" ref="I41:I50">-G41*E41</f>
        <v>5088.054013920791</v>
      </c>
      <c r="J41" s="1151">
        <f aca="true" t="shared" si="9" ref="J41:J50">J40</f>
        <v>-95331.52530969579</v>
      </c>
      <c r="K41" s="1151"/>
      <c r="L41" s="1151">
        <f t="shared" si="5"/>
        <v>834857.2585080053</v>
      </c>
    </row>
    <row r="42" spans="2:12" ht="15.75">
      <c r="B42" s="1130" t="s">
        <v>862</v>
      </c>
      <c r="C42" s="1130" t="str">
        <f>+C41</f>
        <v>Year 2020</v>
      </c>
      <c r="D42" s="1130"/>
      <c r="E42" s="1137">
        <f t="shared" si="6"/>
        <v>-834857.2585080053</v>
      </c>
      <c r="F42" s="1137"/>
      <c r="G42" s="1152">
        <f t="shared" si="7"/>
        <v>0.0055</v>
      </c>
      <c r="H42" s="1153" t="s">
        <v>637</v>
      </c>
      <c r="I42" s="1151">
        <f t="shared" si="8"/>
        <v>4591.714921794029</v>
      </c>
      <c r="J42" s="1151">
        <f t="shared" si="9"/>
        <v>-95331.52530969579</v>
      </c>
      <c r="K42" s="1151"/>
      <c r="L42" s="1151">
        <f t="shared" si="5"/>
        <v>744117.4481201036</v>
      </c>
    </row>
    <row r="43" spans="2:12" ht="15.75">
      <c r="B43" s="1130" t="s">
        <v>863</v>
      </c>
      <c r="C43" s="1130" t="str">
        <f>+C42</f>
        <v>Year 2020</v>
      </c>
      <c r="D43" s="1130"/>
      <c r="E43" s="1137">
        <f t="shared" si="6"/>
        <v>-744117.4481201036</v>
      </c>
      <c r="F43" s="1137"/>
      <c r="G43" s="1152">
        <f t="shared" si="7"/>
        <v>0.0055</v>
      </c>
      <c r="H43" s="1153" t="s">
        <v>637</v>
      </c>
      <c r="I43" s="1151">
        <f t="shared" si="8"/>
        <v>4092.6459646605695</v>
      </c>
      <c r="J43" s="1151">
        <f>J42</f>
        <v>-95331.52530969579</v>
      </c>
      <c r="K43" s="1151"/>
      <c r="L43" s="1151">
        <f t="shared" si="5"/>
        <v>652878.5687750684</v>
      </c>
    </row>
    <row r="44" spans="2:12" ht="15.75">
      <c r="B44" s="1130" t="s">
        <v>864</v>
      </c>
      <c r="C44" s="1130" t="str">
        <f>C43</f>
        <v>Year 2020</v>
      </c>
      <c r="D44" s="549"/>
      <c r="E44" s="1137">
        <f t="shared" si="6"/>
        <v>-652878.5687750684</v>
      </c>
      <c r="F44" s="1137"/>
      <c r="G44" s="1152">
        <f t="shared" si="7"/>
        <v>0.0055</v>
      </c>
      <c r="H44" s="1153" t="s">
        <v>637</v>
      </c>
      <c r="I44" s="1151">
        <f t="shared" si="8"/>
        <v>3590.832128262876</v>
      </c>
      <c r="J44" s="1151">
        <f t="shared" si="9"/>
        <v>-95331.52530969579</v>
      </c>
      <c r="K44" s="1151"/>
      <c r="L44" s="1151">
        <f t="shared" si="5"/>
        <v>561137.8755936355</v>
      </c>
    </row>
    <row r="45" spans="2:12" ht="15.75">
      <c r="B45" s="1130" t="s">
        <v>865</v>
      </c>
      <c r="C45" s="1130" t="str">
        <f aca="true" t="shared" si="10" ref="C45:C50">+C44</f>
        <v>Year 2020</v>
      </c>
      <c r="D45" s="1130"/>
      <c r="E45" s="1137">
        <f t="shared" si="6"/>
        <v>-561137.8755936355</v>
      </c>
      <c r="F45" s="1137"/>
      <c r="G45" s="1152">
        <f t="shared" si="7"/>
        <v>0.0055</v>
      </c>
      <c r="H45" s="1153" t="s">
        <v>637</v>
      </c>
      <c r="I45" s="1151">
        <f t="shared" si="8"/>
        <v>3086.258315764995</v>
      </c>
      <c r="J45" s="1151">
        <f t="shared" si="9"/>
        <v>-95331.52530969579</v>
      </c>
      <c r="K45" s="1151"/>
      <c r="L45" s="1151">
        <f t="shared" si="5"/>
        <v>468892.60859970463</v>
      </c>
    </row>
    <row r="46" spans="2:12" ht="15.75">
      <c r="B46" s="1130" t="s">
        <v>866</v>
      </c>
      <c r="C46" s="1130" t="str">
        <f t="shared" si="10"/>
        <v>Year 2020</v>
      </c>
      <c r="D46" s="1130"/>
      <c r="E46" s="1137">
        <f t="shared" si="6"/>
        <v>-468892.60859970463</v>
      </c>
      <c r="F46" s="1137"/>
      <c r="G46" s="1152">
        <f t="shared" si="7"/>
        <v>0.0055</v>
      </c>
      <c r="H46" s="1153" t="s">
        <v>637</v>
      </c>
      <c r="I46" s="1151">
        <f t="shared" si="8"/>
        <v>2578.9093472983755</v>
      </c>
      <c r="J46" s="1151">
        <f t="shared" si="9"/>
        <v>-95331.52530969579</v>
      </c>
      <c r="K46" s="1151"/>
      <c r="L46" s="1151">
        <f t="shared" si="5"/>
        <v>376139.9926373072</v>
      </c>
    </row>
    <row r="47" spans="2:12" ht="15.75">
      <c r="B47" s="1130" t="s">
        <v>867</v>
      </c>
      <c r="C47" s="1130" t="str">
        <f t="shared" si="10"/>
        <v>Year 2020</v>
      </c>
      <c r="D47" s="1130"/>
      <c r="E47" s="1137">
        <f t="shared" si="6"/>
        <v>-376139.9926373072</v>
      </c>
      <c r="F47" s="1137"/>
      <c r="G47" s="1152">
        <f t="shared" si="7"/>
        <v>0.0055</v>
      </c>
      <c r="H47" s="1153" t="s">
        <v>637</v>
      </c>
      <c r="I47" s="1151">
        <f t="shared" si="8"/>
        <v>2068.7699595051895</v>
      </c>
      <c r="J47" s="1151">
        <f>J46</f>
        <v>-95331.52530969579</v>
      </c>
      <c r="K47" s="1151"/>
      <c r="L47" s="1151">
        <f t="shared" si="5"/>
        <v>282877.2372871166</v>
      </c>
    </row>
    <row r="48" spans="2:12" ht="15.75">
      <c r="B48" s="1130" t="s">
        <v>868</v>
      </c>
      <c r="C48" s="1130" t="str">
        <f t="shared" si="10"/>
        <v>Year 2020</v>
      </c>
      <c r="D48" s="1130"/>
      <c r="E48" s="1137">
        <f t="shared" si="6"/>
        <v>-282877.2372871166</v>
      </c>
      <c r="F48" s="1137"/>
      <c r="G48" s="1152">
        <f t="shared" si="7"/>
        <v>0.0055</v>
      </c>
      <c r="H48" s="1153" t="s">
        <v>637</v>
      </c>
      <c r="I48" s="1151">
        <f t="shared" si="8"/>
        <v>1555.8248050791412</v>
      </c>
      <c r="J48" s="1151">
        <f t="shared" si="9"/>
        <v>-95331.52530969579</v>
      </c>
      <c r="K48" s="1151"/>
      <c r="L48" s="1151">
        <f t="shared" si="5"/>
        <v>189101.53678249993</v>
      </c>
    </row>
    <row r="49" spans="2:12" ht="15.75">
      <c r="B49" s="1130" t="s">
        <v>869</v>
      </c>
      <c r="C49" s="1130" t="str">
        <f t="shared" si="10"/>
        <v>Year 2020</v>
      </c>
      <c r="D49" s="1130"/>
      <c r="E49" s="1137">
        <f t="shared" si="6"/>
        <v>-189101.53678249993</v>
      </c>
      <c r="F49" s="1137"/>
      <c r="G49" s="1152">
        <f t="shared" si="7"/>
        <v>0.0055</v>
      </c>
      <c r="H49" s="1153" t="s">
        <v>637</v>
      </c>
      <c r="I49" s="1151">
        <f t="shared" si="8"/>
        <v>1040.0584523037496</v>
      </c>
      <c r="J49" s="1151">
        <f t="shared" si="9"/>
        <v>-95331.52530969579</v>
      </c>
      <c r="K49" s="1151"/>
      <c r="L49" s="1151">
        <f t="shared" si="5"/>
        <v>94810.06992510789</v>
      </c>
    </row>
    <row r="50" spans="2:12" ht="15.75">
      <c r="B50" s="1130" t="s">
        <v>870</v>
      </c>
      <c r="C50" s="1130" t="str">
        <f t="shared" si="10"/>
        <v>Year 2020</v>
      </c>
      <c r="D50" s="1130"/>
      <c r="E50" s="1137">
        <f t="shared" si="6"/>
        <v>-94810.06992510789</v>
      </c>
      <c r="F50" s="1137"/>
      <c r="G50" s="1152">
        <f t="shared" si="7"/>
        <v>0.0055</v>
      </c>
      <c r="H50" s="1153" t="s">
        <v>637</v>
      </c>
      <c r="I50" s="1154">
        <f t="shared" si="8"/>
        <v>521.4553845880934</v>
      </c>
      <c r="J50" s="1151">
        <f t="shared" si="9"/>
        <v>-95331.52530969579</v>
      </c>
      <c r="K50" s="1151"/>
      <c r="L50" s="1151">
        <f t="shared" si="5"/>
        <v>1.8917489796876907E-10</v>
      </c>
    </row>
    <row r="51" spans="2:12" ht="15.75">
      <c r="B51" s="1130"/>
      <c r="C51" s="1130"/>
      <c r="D51" s="1130"/>
      <c r="E51" s="1137"/>
      <c r="F51" s="1137"/>
      <c r="G51" s="1152"/>
      <c r="H51" s="1130"/>
      <c r="I51" s="1151">
        <f>SUM(I39:I50)</f>
        <v>39868.80371634948</v>
      </c>
      <c r="J51" s="1151"/>
      <c r="K51" s="1151"/>
      <c r="L51" s="1151"/>
    </row>
    <row r="52" spans="2:12" ht="15">
      <c r="B52" s="549"/>
      <c r="C52" s="549"/>
      <c r="D52" s="549"/>
      <c r="E52" s="549"/>
      <c r="F52" s="549"/>
      <c r="G52" s="549"/>
      <c r="H52" s="549"/>
      <c r="I52" s="549"/>
      <c r="J52" s="1159"/>
      <c r="K52" s="549"/>
      <c r="L52" s="549"/>
    </row>
    <row r="53" spans="2:12" ht="15.75">
      <c r="B53" s="1130" t="s">
        <v>874</v>
      </c>
      <c r="C53" s="549"/>
      <c r="D53" s="549"/>
      <c r="E53" s="549"/>
      <c r="F53" s="549"/>
      <c r="G53" s="549"/>
      <c r="H53" s="549"/>
      <c r="I53" s="549"/>
      <c r="J53" s="1160">
        <f>(SUM(J39:J50)*-1)</f>
        <v>1143978.3037163494</v>
      </c>
      <c r="K53" s="549"/>
      <c r="L53" s="549"/>
    </row>
    <row r="54" spans="2:12" ht="15.75">
      <c r="B54" s="1130" t="s">
        <v>875</v>
      </c>
      <c r="C54" s="549"/>
      <c r="D54" s="549"/>
      <c r="E54" s="549"/>
      <c r="F54" s="549"/>
      <c r="G54" s="549"/>
      <c r="H54" s="549"/>
      <c r="I54" s="549"/>
      <c r="J54" s="1161">
        <f>+I10</f>
        <v>-1000000</v>
      </c>
      <c r="K54" s="549"/>
      <c r="L54" s="549"/>
    </row>
    <row r="55" spans="2:12" ht="15.75">
      <c r="B55" s="1130" t="s">
        <v>876</v>
      </c>
      <c r="C55" s="549"/>
      <c r="D55" s="549"/>
      <c r="E55" s="549"/>
      <c r="F55" s="549"/>
      <c r="G55" s="549"/>
      <c r="H55" s="549"/>
      <c r="I55" s="549"/>
      <c r="J55" s="1160">
        <f>(J53+J54)</f>
        <v>143978.30371634942</v>
      </c>
      <c r="K55" s="549"/>
      <c r="L55" s="549"/>
    </row>
    <row r="56" spans="2:12" ht="12.75">
      <c r="B56" s="548"/>
      <c r="C56" s="548"/>
      <c r="D56" s="548"/>
      <c r="E56" s="548"/>
      <c r="F56" s="548"/>
      <c r="G56" s="548"/>
      <c r="H56" s="548"/>
      <c r="I56" s="548"/>
      <c r="J56" s="548"/>
      <c r="K56" s="548"/>
      <c r="L56" s="548"/>
    </row>
    <row r="57" spans="2:12" ht="53.25" customHeight="1">
      <c r="B57" s="1324" t="s">
        <v>877</v>
      </c>
      <c r="C57" s="1324"/>
      <c r="D57" s="1324"/>
      <c r="E57" s="1324"/>
      <c r="F57" s="1324"/>
      <c r="G57" s="1324"/>
      <c r="H57" s="1324"/>
      <c r="I57" s="1324"/>
      <c r="J57" s="1324"/>
      <c r="K57" s="1324"/>
      <c r="L57" s="1324"/>
    </row>
  </sheetData>
  <sheetProtection password="CA99" sheet="1" objects="1" scenarios="1"/>
  <mergeCells count="5">
    <mergeCell ref="B1:L1"/>
    <mergeCell ref="B2:L2"/>
    <mergeCell ref="B3:L3"/>
    <mergeCell ref="E4:H4"/>
    <mergeCell ref="B57:L57"/>
  </mergeCells>
  <printOptions/>
  <pageMargins left="0.7" right="0.7" top="0.75" bottom="0.75" header="0.3" footer="0.3"/>
  <pageSetup horizontalDpi="600" verticalDpi="600" orientation="portrait" scale="48" r:id="rId1"/>
</worksheet>
</file>

<file path=xl/worksheets/sheet3.xml><?xml version="1.0" encoding="utf-8"?>
<worksheet xmlns="http://schemas.openxmlformats.org/spreadsheetml/2006/main" xmlns:r="http://schemas.openxmlformats.org/officeDocument/2006/relationships">
  <sheetPr>
    <tabColor rgb="FFCCFFFF"/>
    <pageSetUpPr fitToPage="1"/>
  </sheetPr>
  <dimension ref="A1:U99"/>
  <sheetViews>
    <sheetView zoomScale="84" zoomScaleNormal="84" zoomScalePageLayoutView="0" workbookViewId="0" topLeftCell="A27">
      <selection activeCell="E56" sqref="E56"/>
    </sheetView>
  </sheetViews>
  <sheetFormatPr defaultColWidth="11.421875" defaultRowHeight="12.75"/>
  <cols>
    <col min="1" max="1" width="9.00390625" style="579" customWidth="1"/>
    <col min="2" max="2" width="4.28125" style="574" customWidth="1"/>
    <col min="3" max="3" width="45.57421875" style="574" customWidth="1"/>
    <col min="4" max="4" width="41.28125" style="574" bestFit="1" customWidth="1"/>
    <col min="5" max="5" width="19.421875" style="574" customWidth="1"/>
    <col min="6" max="6" width="20.140625" style="574" customWidth="1"/>
    <col min="7" max="8" width="17.00390625" style="574" customWidth="1"/>
    <col min="9" max="9" width="16.00390625" style="585" customWidth="1"/>
    <col min="10" max="10" width="16.7109375" style="574" customWidth="1"/>
    <col min="11" max="11" width="13.7109375" style="574" customWidth="1"/>
    <col min="12" max="12" width="11.57421875" style="574" customWidth="1"/>
    <col min="13" max="14" width="13.421875" style="574" customWidth="1"/>
    <col min="15" max="15" width="13.7109375" style="574" customWidth="1"/>
    <col min="16" max="16384" width="11.421875" style="574" customWidth="1"/>
  </cols>
  <sheetData>
    <row r="1" spans="1:10" ht="15">
      <c r="A1" s="1247" t="str">
        <f>TCOS!$F$3</f>
        <v>AEPTCo subsidiaries in PJM</v>
      </c>
      <c r="B1" s="1247" t="str">
        <f>TCOS!$F$3</f>
        <v>AEPTCo subsidiaries in PJM</v>
      </c>
      <c r="C1" s="1247" t="str">
        <f>TCOS!$F$3</f>
        <v>AEPTCo subsidiaries in PJM</v>
      </c>
      <c r="D1" s="1247" t="str">
        <f>TCOS!$F$3</f>
        <v>AEPTCo subsidiaries in PJM</v>
      </c>
      <c r="E1" s="1247" t="str">
        <f>TCOS!$F$3</f>
        <v>AEPTCo subsidiaries in PJM</v>
      </c>
      <c r="F1" s="1247" t="str">
        <f>TCOS!$F$3</f>
        <v>AEPTCo subsidiaries in PJM</v>
      </c>
      <c r="G1" s="1247" t="str">
        <f>TCOS!$F$3</f>
        <v>AEPTCo subsidiaries in PJM</v>
      </c>
      <c r="H1" s="573"/>
      <c r="I1" s="352"/>
      <c r="J1" s="352"/>
    </row>
    <row r="2" spans="1:9" ht="15">
      <c r="A2" s="1246" t="str">
        <f>"Cost of Service Formula Rate Using Actual/Projected FF1 Balances"</f>
        <v>Cost of Service Formula Rate Using Actual/Projected FF1 Balances</v>
      </c>
      <c r="B2" s="1246"/>
      <c r="C2" s="1246"/>
      <c r="D2" s="1246"/>
      <c r="E2" s="1246"/>
      <c r="F2" s="1246"/>
      <c r="G2" s="1246"/>
      <c r="H2" s="576"/>
      <c r="I2" s="574"/>
    </row>
    <row r="3" spans="1:9" ht="15">
      <c r="A3" s="1246" t="s">
        <v>425</v>
      </c>
      <c r="B3" s="1246"/>
      <c r="C3" s="1246"/>
      <c r="D3" s="1246"/>
      <c r="E3" s="1246"/>
      <c r="F3" s="1246"/>
      <c r="G3" s="1246"/>
      <c r="H3" s="575"/>
      <c r="I3" s="574"/>
    </row>
    <row r="4" spans="1:9" ht="15">
      <c r="A4" s="1248" t="str">
        <f>+TCOS!F7</f>
        <v>AEP APPALACHIAN TRANSMISSION COMPANY</v>
      </c>
      <c r="B4" s="1248"/>
      <c r="C4" s="1248"/>
      <c r="D4" s="1248"/>
      <c r="E4" s="1248"/>
      <c r="F4" s="1248"/>
      <c r="G4" s="1248"/>
      <c r="H4" s="577"/>
      <c r="I4" s="574"/>
    </row>
    <row r="5" spans="1:9" ht="15">
      <c r="A5" s="577"/>
      <c r="B5" s="577"/>
      <c r="C5" s="577"/>
      <c r="E5" s="578"/>
      <c r="F5" s="578"/>
      <c r="G5" s="578"/>
      <c r="H5" s="578"/>
      <c r="I5" s="578"/>
    </row>
    <row r="6" spans="3:9" ht="12.75">
      <c r="C6" s="580" t="s">
        <v>683</v>
      </c>
      <c r="D6" s="580" t="s">
        <v>684</v>
      </c>
      <c r="E6" s="580" t="s">
        <v>685</v>
      </c>
      <c r="F6" s="580" t="s">
        <v>686</v>
      </c>
      <c r="G6" s="580" t="s">
        <v>606</v>
      </c>
      <c r="H6" s="580"/>
      <c r="I6" s="581"/>
    </row>
    <row r="7" spans="1:9" ht="12.75" customHeight="1">
      <c r="A7" s="582" t="s">
        <v>690</v>
      </c>
      <c r="C7" s="580"/>
      <c r="D7" s="580"/>
      <c r="E7" s="1249" t="str">
        <f>"Balance @ December 31, "&amp;TCOS!L2&amp;""</f>
        <v>Balance @ December 31, 2017</v>
      </c>
      <c r="F7" s="1249" t="str">
        <f>"Balance @ December 31, "&amp;TCOS!L2-1&amp;""</f>
        <v>Balance @ December 31, 2016</v>
      </c>
      <c r="G7" s="1244" t="str">
        <f>"Average Balance for "&amp;TCOS!L2&amp;""</f>
        <v>Average Balance for 2017</v>
      </c>
      <c r="H7" s="580"/>
      <c r="I7" s="581"/>
    </row>
    <row r="8" spans="1:14" ht="26.25" customHeight="1">
      <c r="A8" s="582" t="s">
        <v>628</v>
      </c>
      <c r="C8" s="583" t="s">
        <v>492</v>
      </c>
      <c r="D8" s="583" t="s">
        <v>491</v>
      </c>
      <c r="E8" s="1245"/>
      <c r="F8" s="1245"/>
      <c r="G8" s="1245"/>
      <c r="H8" s="583"/>
      <c r="I8" s="583"/>
      <c r="K8" s="352"/>
      <c r="L8" s="352"/>
      <c r="M8" s="352"/>
      <c r="N8" s="352"/>
    </row>
    <row r="9" spans="1:14" s="585" customFormat="1" ht="12.75">
      <c r="A9" s="584"/>
      <c r="B9" s="584"/>
      <c r="C9" s="584"/>
      <c r="D9" s="584"/>
      <c r="F9" s="586"/>
      <c r="G9" s="587"/>
      <c r="H9" s="588"/>
      <c r="I9" s="343"/>
      <c r="J9" s="588"/>
      <c r="K9" s="352"/>
      <c r="L9" s="352"/>
      <c r="M9" s="352"/>
      <c r="N9" s="352"/>
    </row>
    <row r="10" spans="1:14" s="585" customFormat="1" ht="12.75">
      <c r="A10" s="589" t="s">
        <v>418</v>
      </c>
      <c r="B10" s="343"/>
      <c r="C10" s="343"/>
      <c r="D10" s="343"/>
      <c r="F10" s="590"/>
      <c r="G10" s="588"/>
      <c r="H10" s="588"/>
      <c r="I10" s="343"/>
      <c r="J10" s="588"/>
      <c r="K10" s="352"/>
      <c r="L10" s="352"/>
      <c r="M10" s="352"/>
      <c r="N10" s="352"/>
    </row>
    <row r="11" spans="1:14" s="585" customFormat="1" ht="12.75">
      <c r="A11" s="591" t="s">
        <v>367</v>
      </c>
      <c r="B11" s="343"/>
      <c r="C11" s="343"/>
      <c r="D11" s="343"/>
      <c r="F11" s="590"/>
      <c r="G11" s="588"/>
      <c r="H11" s="588"/>
      <c r="I11" s="343"/>
      <c r="J11" s="588"/>
      <c r="K11" s="352"/>
      <c r="L11" s="352"/>
      <c r="M11" s="352"/>
      <c r="N11" s="352"/>
    </row>
    <row r="12" spans="1:14" s="585" customFormat="1" ht="12.75">
      <c r="A12" s="591"/>
      <c r="B12" s="343"/>
      <c r="C12" s="343"/>
      <c r="D12" s="343"/>
      <c r="F12" s="590"/>
      <c r="G12" s="588"/>
      <c r="H12" s="588"/>
      <c r="I12" s="343"/>
      <c r="J12" s="588"/>
      <c r="K12" s="352"/>
      <c r="L12" s="352"/>
      <c r="M12" s="352"/>
      <c r="N12" s="352"/>
    </row>
    <row r="13" spans="1:14" s="585" customFormat="1" ht="12.75">
      <c r="A13" s="592" t="s">
        <v>415</v>
      </c>
      <c r="B13" s="343"/>
      <c r="C13" s="343"/>
      <c r="D13" s="343"/>
      <c r="E13" s="343"/>
      <c r="F13" s="588"/>
      <c r="G13" s="588"/>
      <c r="H13" s="588"/>
      <c r="I13" s="343"/>
      <c r="J13" s="588"/>
      <c r="K13" s="352"/>
      <c r="L13" s="352"/>
      <c r="M13" s="352"/>
      <c r="N13" s="352"/>
    </row>
    <row r="14" spans="1:21" ht="12.75" customHeight="1">
      <c r="A14" s="593"/>
      <c r="B14" s="594"/>
      <c r="C14" s="592"/>
      <c r="D14" s="595"/>
      <c r="E14" s="548"/>
      <c r="F14" s="585"/>
      <c r="G14" s="585"/>
      <c r="H14" s="585"/>
      <c r="I14" s="548"/>
      <c r="J14" s="596"/>
      <c r="K14" s="352"/>
      <c r="L14" s="352"/>
      <c r="M14" s="352"/>
      <c r="N14" s="352"/>
      <c r="O14" s="597"/>
      <c r="P14" s="597"/>
      <c r="Q14" s="597"/>
      <c r="R14" s="597"/>
      <c r="S14" s="597"/>
      <c r="T14" s="597"/>
      <c r="U14" s="597"/>
    </row>
    <row r="15" spans="1:14" ht="15">
      <c r="A15" s="593">
        <v>1</v>
      </c>
      <c r="B15" s="598"/>
      <c r="C15" s="389" t="s">
        <v>471</v>
      </c>
      <c r="D15" s="599"/>
      <c r="E15" s="548"/>
      <c r="F15" s="585"/>
      <c r="G15" s="600"/>
      <c r="H15" s="601"/>
      <c r="I15" s="602"/>
      <c r="J15" s="593"/>
      <c r="K15" s="587"/>
      <c r="L15" s="587"/>
      <c r="M15" s="587"/>
      <c r="N15" s="587"/>
    </row>
    <row r="16" spans="1:14" ht="12.75">
      <c r="A16" s="593"/>
      <c r="B16" s="598"/>
      <c r="C16" s="603"/>
      <c r="D16" s="599"/>
      <c r="E16" s="548"/>
      <c r="F16" s="585"/>
      <c r="G16" s="601"/>
      <c r="H16" s="601"/>
      <c r="I16" s="602"/>
      <c r="J16" s="593"/>
      <c r="K16" s="587"/>
      <c r="L16" s="587"/>
      <c r="M16" s="587"/>
      <c r="N16" s="587"/>
    </row>
    <row r="17" spans="1:14" ht="15">
      <c r="A17" s="593">
        <f>+A15+1</f>
        <v>2</v>
      </c>
      <c r="B17" s="598"/>
      <c r="C17" s="389" t="s">
        <v>471</v>
      </c>
      <c r="D17" s="599"/>
      <c r="E17" s="548"/>
      <c r="F17" s="585"/>
      <c r="G17" s="600"/>
      <c r="H17" s="601"/>
      <c r="I17" s="602"/>
      <c r="J17" s="593"/>
      <c r="K17" s="587"/>
      <c r="L17" s="587"/>
      <c r="M17" s="587"/>
      <c r="N17" s="587"/>
    </row>
    <row r="18" spans="1:14" ht="12.75">
      <c r="A18" s="352"/>
      <c r="B18" s="352"/>
      <c r="C18" s="352"/>
      <c r="E18" s="352"/>
      <c r="F18" s="352"/>
      <c r="G18" s="352"/>
      <c r="H18" s="352"/>
      <c r="I18" s="352"/>
      <c r="J18" s="352"/>
      <c r="K18" s="352"/>
      <c r="L18" s="352"/>
      <c r="M18" s="587"/>
      <c r="N18" s="587"/>
    </row>
    <row r="19" spans="1:14" ht="12.75">
      <c r="A19" s="593">
        <f>+A17+1</f>
        <v>3</v>
      </c>
      <c r="B19" s="585"/>
      <c r="C19" s="591" t="s">
        <v>750</v>
      </c>
      <c r="D19" s="599" t="s">
        <v>312</v>
      </c>
      <c r="E19" s="623">
        <v>46595</v>
      </c>
      <c r="F19" s="623">
        <v>32</v>
      </c>
      <c r="G19" s="604">
        <f>IF(F19="",0,AVERAGE(E19:F19))</f>
        <v>23313.5</v>
      </c>
      <c r="H19" s="548"/>
      <c r="I19" s="602"/>
      <c r="J19" s="593"/>
      <c r="K19" s="587"/>
      <c r="L19" s="587"/>
      <c r="M19" s="587"/>
      <c r="N19" s="587"/>
    </row>
    <row r="20" spans="1:14" ht="12.75">
      <c r="A20" s="593"/>
      <c r="B20" s="595"/>
      <c r="E20" s="605"/>
      <c r="F20" s="605"/>
      <c r="G20" s="605"/>
      <c r="H20" s="605"/>
      <c r="I20" s="602"/>
      <c r="J20" s="593"/>
      <c r="K20" s="587"/>
      <c r="L20" s="587"/>
      <c r="M20" s="587"/>
      <c r="N20" s="587"/>
    </row>
    <row r="21" spans="1:14" ht="12.75">
      <c r="A21" s="593">
        <f>+A19+1</f>
        <v>4</v>
      </c>
      <c r="B21" s="595"/>
      <c r="C21" s="603" t="s">
        <v>412</v>
      </c>
      <c r="D21" s="599" t="s">
        <v>313</v>
      </c>
      <c r="E21" s="623">
        <v>0</v>
      </c>
      <c r="F21" s="623">
        <v>0</v>
      </c>
      <c r="G21" s="604">
        <f>IF(F21="",0,AVERAGE(E21:F21))</f>
        <v>0</v>
      </c>
      <c r="H21" s="605"/>
      <c r="I21" s="602"/>
      <c r="J21" s="593"/>
      <c r="K21" s="587"/>
      <c r="L21" s="587"/>
      <c r="M21" s="587"/>
      <c r="N21" s="587"/>
    </row>
    <row r="22" spans="1:14" ht="12.75">
      <c r="A22" s="593"/>
      <c r="B22" s="598"/>
      <c r="C22" s="603"/>
      <c r="D22" s="595"/>
      <c r="E22" s="606"/>
      <c r="F22" s="606"/>
      <c r="G22" s="601"/>
      <c r="H22" s="601"/>
      <c r="I22" s="602"/>
      <c r="J22" s="593"/>
      <c r="K22" s="587"/>
      <c r="L22" s="587"/>
      <c r="M22" s="587"/>
      <c r="N22" s="587"/>
    </row>
    <row r="23" spans="1:14" ht="15">
      <c r="A23" s="593">
        <f>+A21+1</f>
        <v>5</v>
      </c>
      <c r="B23" s="598"/>
      <c r="C23" s="389" t="s">
        <v>471</v>
      </c>
      <c r="D23" s="599"/>
      <c r="E23" s="606"/>
      <c r="F23" s="606"/>
      <c r="G23" s="600"/>
      <c r="H23" s="601"/>
      <c r="I23" s="602"/>
      <c r="J23" s="593"/>
      <c r="K23" s="587"/>
      <c r="L23" s="587"/>
      <c r="M23" s="587"/>
      <c r="N23" s="587"/>
    </row>
    <row r="24" spans="1:14" ht="12.75">
      <c r="A24" s="593"/>
      <c r="B24" s="598"/>
      <c r="C24" s="603"/>
      <c r="D24" s="599"/>
      <c r="E24" s="606"/>
      <c r="F24" s="606"/>
      <c r="G24" s="601"/>
      <c r="H24" s="601"/>
      <c r="I24" s="602"/>
      <c r="J24" s="593"/>
      <c r="K24" s="587"/>
      <c r="L24" s="587"/>
      <c r="M24" s="587"/>
      <c r="N24" s="587"/>
    </row>
    <row r="25" spans="1:14" ht="15">
      <c r="A25" s="593">
        <f>+A23+1</f>
        <v>6</v>
      </c>
      <c r="B25" s="598"/>
      <c r="C25" s="389" t="s">
        <v>471</v>
      </c>
      <c r="D25" s="599"/>
      <c r="E25" s="606"/>
      <c r="F25" s="606"/>
      <c r="G25" s="600"/>
      <c r="H25" s="601"/>
      <c r="I25" s="602"/>
      <c r="J25" s="593"/>
      <c r="K25" s="587"/>
      <c r="L25" s="587"/>
      <c r="M25" s="587"/>
      <c r="N25" s="587"/>
    </row>
    <row r="26" spans="1:14" ht="12.75">
      <c r="A26" s="593"/>
      <c r="B26" s="598"/>
      <c r="C26" s="603"/>
      <c r="D26" s="595"/>
      <c r="E26" s="606"/>
      <c r="F26" s="606"/>
      <c r="G26" s="601"/>
      <c r="H26" s="601"/>
      <c r="I26" s="602"/>
      <c r="J26" s="593"/>
      <c r="K26" s="587"/>
      <c r="L26" s="587"/>
      <c r="M26" s="587"/>
      <c r="N26" s="587"/>
    </row>
    <row r="27" spans="1:14" ht="12.75">
      <c r="A27" s="593">
        <f>+A25+1</f>
        <v>7</v>
      </c>
      <c r="B27" s="598"/>
      <c r="C27" s="591" t="s">
        <v>752</v>
      </c>
      <c r="D27" s="599" t="s">
        <v>327</v>
      </c>
      <c r="E27" s="623">
        <v>0</v>
      </c>
      <c r="F27" s="623">
        <v>0</v>
      </c>
      <c r="G27" s="604">
        <f>IF(F27="",0,AVERAGE(E27:F27))</f>
        <v>0</v>
      </c>
      <c r="H27" s="601"/>
      <c r="I27" s="602"/>
      <c r="J27" s="593"/>
      <c r="K27" s="587"/>
      <c r="L27" s="587"/>
      <c r="M27" s="587"/>
      <c r="N27" s="587"/>
    </row>
    <row r="28" spans="1:14" ht="12.75">
      <c r="A28" s="593"/>
      <c r="B28" s="598"/>
      <c r="C28" s="603"/>
      <c r="D28" s="599"/>
      <c r="E28" s="606"/>
      <c r="F28" s="606"/>
      <c r="G28" s="601"/>
      <c r="H28" s="601"/>
      <c r="I28" s="602"/>
      <c r="J28" s="593"/>
      <c r="K28" s="587"/>
      <c r="L28" s="587"/>
      <c r="M28" s="587"/>
      <c r="N28" s="587"/>
    </row>
    <row r="29" spans="1:14" ht="12.75">
      <c r="A29" s="593">
        <f>+A27+1</f>
        <v>8</v>
      </c>
      <c r="B29" s="598"/>
      <c r="C29" s="603" t="s">
        <v>203</v>
      </c>
      <c r="D29" s="599" t="s">
        <v>328</v>
      </c>
      <c r="E29" s="623">
        <v>0</v>
      </c>
      <c r="F29" s="623">
        <v>0</v>
      </c>
      <c r="G29" s="604">
        <f>IF(F29="",0,AVERAGE(E29:F29))</f>
        <v>0</v>
      </c>
      <c r="H29" s="601"/>
      <c r="I29" s="602"/>
      <c r="J29" s="593"/>
      <c r="K29" s="587"/>
      <c r="L29" s="587"/>
      <c r="M29" s="587"/>
      <c r="N29" s="587"/>
    </row>
    <row r="30" spans="1:14" ht="12.75">
      <c r="A30" s="593"/>
      <c r="B30" s="598"/>
      <c r="C30" s="603"/>
      <c r="D30" s="595"/>
      <c r="E30" s="606"/>
      <c r="F30" s="606"/>
      <c r="G30" s="601"/>
      <c r="H30" s="601"/>
      <c r="I30" s="602"/>
      <c r="J30" s="593"/>
      <c r="K30" s="587"/>
      <c r="L30" s="587"/>
      <c r="M30" s="587"/>
      <c r="N30" s="587"/>
    </row>
    <row r="31" spans="1:14" ht="12.75">
      <c r="A31" s="593">
        <f>+A29+1</f>
        <v>9</v>
      </c>
      <c r="B31" s="598"/>
      <c r="C31" s="591" t="s">
        <v>751</v>
      </c>
      <c r="D31" s="599" t="s">
        <v>329</v>
      </c>
      <c r="E31" s="623">
        <v>43939</v>
      </c>
      <c r="F31" s="623">
        <v>32107</v>
      </c>
      <c r="G31" s="604">
        <f>IF(F31="",0,AVERAGE(E31:F31))</f>
        <v>38023</v>
      </c>
      <c r="H31" s="601"/>
      <c r="I31" s="602"/>
      <c r="J31" s="593"/>
      <c r="K31" s="587"/>
      <c r="L31" s="587"/>
      <c r="M31" s="587"/>
      <c r="N31" s="587"/>
    </row>
    <row r="32" spans="1:14" ht="12.75">
      <c r="A32" s="593"/>
      <c r="B32" s="598"/>
      <c r="C32" s="603"/>
      <c r="D32" s="599"/>
      <c r="E32" s="606"/>
      <c r="F32" s="606"/>
      <c r="G32" s="601"/>
      <c r="H32" s="601"/>
      <c r="I32" s="602"/>
      <c r="J32" s="593"/>
      <c r="K32" s="587"/>
      <c r="L32" s="587"/>
      <c r="M32" s="587"/>
      <c r="N32" s="587"/>
    </row>
    <row r="33" spans="1:14" ht="12.75">
      <c r="A33" s="593">
        <f>+A31+1</f>
        <v>10</v>
      </c>
      <c r="B33" s="598"/>
      <c r="C33" s="603" t="s">
        <v>204</v>
      </c>
      <c r="D33" s="599" t="str">
        <f>"(Sum of Lines: "&amp;A19&amp;", "&amp;A27&amp;", "&amp;A31&amp;")"</f>
        <v>(Sum of Lines: 3, 7, 9)</v>
      </c>
      <c r="E33" s="607">
        <f>+E19+E15+E23+E27+E31</f>
        <v>90534</v>
      </c>
      <c r="F33" s="607">
        <f>+F19+F15+F23+F27+F31</f>
        <v>32139</v>
      </c>
      <c r="G33" s="607">
        <f>+G19+G15+G23+G27+G31</f>
        <v>61336.5</v>
      </c>
      <c r="H33" s="352"/>
      <c r="I33" s="602"/>
      <c r="J33" s="593"/>
      <c r="K33" s="587"/>
      <c r="L33" s="587"/>
      <c r="M33" s="587"/>
      <c r="N33" s="587"/>
    </row>
    <row r="34" spans="1:14" ht="12.75">
      <c r="A34" s="593"/>
      <c r="B34" s="598"/>
      <c r="C34" s="603"/>
      <c r="D34" s="595"/>
      <c r="E34" s="606"/>
      <c r="F34" s="606"/>
      <c r="G34" s="606"/>
      <c r="H34" s="601"/>
      <c r="I34" s="602"/>
      <c r="J34" s="593"/>
      <c r="K34" s="587"/>
      <c r="L34" s="587"/>
      <c r="M34" s="587"/>
      <c r="N34" s="587"/>
    </row>
    <row r="35" spans="1:14" ht="12.75">
      <c r="A35" s="593">
        <f>+A33+1</f>
        <v>11</v>
      </c>
      <c r="B35" s="598"/>
      <c r="C35" s="603" t="str">
        <f>"Total ARO Balance (included in total on line "&amp;A33&amp;")"</f>
        <v>Total ARO Balance (included in total on line 10)</v>
      </c>
      <c r="D35" s="599" t="str">
        <f>"(Sum of Lines: "&amp;A21&amp;", "&amp;A29&amp;")"</f>
        <v>(Sum of Lines: 4, 8)</v>
      </c>
      <c r="E35" s="607">
        <f>+E21+E17+E25+E29</f>
        <v>0</v>
      </c>
      <c r="F35" s="607">
        <f>+F21+F17+F25+F29</f>
        <v>0</v>
      </c>
      <c r="G35" s="607">
        <f>+G21+G17+G25+G29</f>
        <v>0</v>
      </c>
      <c r="H35" s="601"/>
      <c r="I35" s="602"/>
      <c r="J35" s="593"/>
      <c r="K35" s="587"/>
      <c r="L35" s="587"/>
      <c r="M35" s="587"/>
      <c r="N35" s="587"/>
    </row>
    <row r="36" spans="1:14" ht="12.75">
      <c r="A36" s="593"/>
      <c r="B36" s="598"/>
      <c r="C36" s="603"/>
      <c r="D36" s="595"/>
      <c r="E36" s="606"/>
      <c r="F36" s="606"/>
      <c r="G36" s="601"/>
      <c r="H36" s="601"/>
      <c r="I36" s="602"/>
      <c r="J36" s="593"/>
      <c r="K36" s="587"/>
      <c r="L36" s="587"/>
      <c r="M36" s="587"/>
      <c r="N36" s="587"/>
    </row>
    <row r="37" spans="1:14" ht="12.75">
      <c r="A37" s="592" t="s">
        <v>208</v>
      </c>
      <c r="B37" s="598"/>
      <c r="C37" s="603"/>
      <c r="D37" s="595"/>
      <c r="E37" s="608"/>
      <c r="F37" s="608"/>
      <c r="G37" s="601"/>
      <c r="H37" s="601"/>
      <c r="I37" s="602"/>
      <c r="J37" s="593"/>
      <c r="K37" s="587"/>
      <c r="L37" s="587"/>
      <c r="M37" s="587"/>
      <c r="N37" s="587"/>
    </row>
    <row r="38" spans="1:14" ht="12.75">
      <c r="A38" s="593"/>
      <c r="B38" s="598"/>
      <c r="C38" s="603"/>
      <c r="D38" s="595"/>
      <c r="E38" s="608"/>
      <c r="F38" s="608"/>
      <c r="G38" s="601"/>
      <c r="H38" s="601"/>
      <c r="I38" s="602"/>
      <c r="J38" s="593"/>
      <c r="K38" s="587"/>
      <c r="L38" s="587"/>
      <c r="M38" s="587"/>
      <c r="N38" s="587"/>
    </row>
    <row r="39" spans="1:14" ht="12.75" customHeight="1">
      <c r="A39" s="593">
        <f>+A35+1</f>
        <v>12</v>
      </c>
      <c r="B39" s="598"/>
      <c r="C39" s="389" t="s">
        <v>471</v>
      </c>
      <c r="D39" s="599"/>
      <c r="E39" s="608"/>
      <c r="F39" s="608"/>
      <c r="G39" s="600"/>
      <c r="H39" s="595"/>
      <c r="I39" s="593"/>
      <c r="J39" s="595"/>
      <c r="K39" s="587"/>
      <c r="L39" s="587"/>
      <c r="M39" s="587"/>
      <c r="N39" s="587"/>
    </row>
    <row r="40" spans="1:14" ht="12.75" customHeight="1">
      <c r="A40" s="593"/>
      <c r="B40" s="598"/>
      <c r="C40" s="603"/>
      <c r="D40" s="599"/>
      <c r="E40" s="608"/>
      <c r="F40" s="608"/>
      <c r="G40" s="601"/>
      <c r="H40" s="601"/>
      <c r="I40" s="609"/>
      <c r="J40" s="610"/>
      <c r="K40" s="587"/>
      <c r="L40" s="587"/>
      <c r="M40" s="587"/>
      <c r="N40" s="587"/>
    </row>
    <row r="41" spans="1:14" ht="12.75" customHeight="1">
      <c r="A41" s="593">
        <f>+A39+1</f>
        <v>13</v>
      </c>
      <c r="B41" s="598"/>
      <c r="C41" s="389" t="s">
        <v>471</v>
      </c>
      <c r="D41" s="599"/>
      <c r="E41" s="608"/>
      <c r="F41" s="608"/>
      <c r="G41" s="600"/>
      <c r="H41" s="611"/>
      <c r="I41" s="609"/>
      <c r="J41" s="595"/>
      <c r="K41" s="612"/>
      <c r="L41" s="612"/>
      <c r="M41" s="612"/>
      <c r="N41" s="612"/>
    </row>
    <row r="42" spans="1:14" ht="12.75" customHeight="1">
      <c r="A42" s="593"/>
      <c r="B42" s="598"/>
      <c r="C42" s="603"/>
      <c r="D42" s="595"/>
      <c r="E42" s="606"/>
      <c r="F42" s="606"/>
      <c r="G42" s="352"/>
      <c r="H42" s="613"/>
      <c r="I42" s="614"/>
      <c r="J42" s="595"/>
      <c r="K42" s="587"/>
      <c r="L42" s="587"/>
      <c r="M42" s="587"/>
      <c r="N42" s="587"/>
    </row>
    <row r="43" spans="1:14" ht="12.75" customHeight="1">
      <c r="A43" s="593">
        <f>+A41+1</f>
        <v>14</v>
      </c>
      <c r="B43" s="585"/>
      <c r="C43" s="591" t="s">
        <v>753</v>
      </c>
      <c r="D43" s="599" t="s">
        <v>239</v>
      </c>
      <c r="E43" s="623">
        <v>430</v>
      </c>
      <c r="F43" s="623">
        <v>0</v>
      </c>
      <c r="G43" s="604">
        <f>IF(F43="",0,AVERAGE(E43:F43))</f>
        <v>215</v>
      </c>
      <c r="H43" s="601"/>
      <c r="I43" s="602"/>
      <c r="J43" s="595"/>
      <c r="K43" s="587"/>
      <c r="L43" s="587"/>
      <c r="M43" s="587"/>
      <c r="N43" s="587"/>
    </row>
    <row r="44" spans="1:14" ht="12.75" customHeight="1">
      <c r="A44" s="593"/>
      <c r="B44" s="595"/>
      <c r="D44" s="599"/>
      <c r="E44" s="605"/>
      <c r="F44" s="605"/>
      <c r="G44" s="605"/>
      <c r="H44" s="601"/>
      <c r="I44" s="602"/>
      <c r="J44" s="595"/>
      <c r="K44" s="587"/>
      <c r="L44" s="587"/>
      <c r="M44" s="587"/>
      <c r="N44" s="587"/>
    </row>
    <row r="45" spans="1:14" ht="12.75" customHeight="1">
      <c r="A45" s="593">
        <f>+A43+1</f>
        <v>15</v>
      </c>
      <c r="B45" s="595"/>
      <c r="C45" s="603" t="s">
        <v>207</v>
      </c>
      <c r="D45" s="599" t="s">
        <v>500</v>
      </c>
      <c r="E45" s="624">
        <v>0</v>
      </c>
      <c r="F45" s="624">
        <v>0</v>
      </c>
      <c r="G45" s="604">
        <f>IF(F45="",0,AVERAGE(E45:F45))</f>
        <v>0</v>
      </c>
      <c r="H45" s="601"/>
      <c r="I45" s="602"/>
      <c r="J45" s="595"/>
      <c r="K45" s="587"/>
      <c r="L45" s="587"/>
      <c r="M45" s="587"/>
      <c r="N45" s="587"/>
    </row>
    <row r="46" spans="1:14" ht="12.75" customHeight="1">
      <c r="A46" s="593"/>
      <c r="B46" s="598"/>
      <c r="C46" s="603"/>
      <c r="D46" s="595"/>
      <c r="E46" s="606"/>
      <c r="F46" s="606"/>
      <c r="G46" s="601"/>
      <c r="H46" s="613"/>
      <c r="I46" s="614"/>
      <c r="J46" s="595"/>
      <c r="K46" s="587"/>
      <c r="L46" s="587"/>
      <c r="M46" s="587"/>
      <c r="N46" s="587"/>
    </row>
    <row r="47" spans="1:14" ht="12.75" customHeight="1">
      <c r="A47" s="593">
        <f>+A45+1</f>
        <v>16</v>
      </c>
      <c r="B47" s="598"/>
      <c r="C47" s="389" t="s">
        <v>471</v>
      </c>
      <c r="D47" s="599"/>
      <c r="E47" s="606"/>
      <c r="F47" s="606"/>
      <c r="G47" s="600"/>
      <c r="H47" s="613"/>
      <c r="I47" s="614"/>
      <c r="J47" s="595"/>
      <c r="K47" s="587"/>
      <c r="L47" s="587"/>
      <c r="M47" s="587"/>
      <c r="N47" s="587"/>
    </row>
    <row r="48" spans="1:14" ht="12.75" customHeight="1">
      <c r="A48" s="593"/>
      <c r="B48" s="598"/>
      <c r="C48" s="603"/>
      <c r="D48" s="599"/>
      <c r="E48" s="606"/>
      <c r="F48" s="606"/>
      <c r="G48" s="601"/>
      <c r="H48" s="613"/>
      <c r="I48" s="614"/>
      <c r="J48" s="595"/>
      <c r="K48" s="587"/>
      <c r="L48" s="587"/>
      <c r="M48" s="587"/>
      <c r="N48" s="587"/>
    </row>
    <row r="49" spans="1:14" ht="12.75" customHeight="1">
      <c r="A49" s="593">
        <f>+A47+1</f>
        <v>17</v>
      </c>
      <c r="B49" s="598"/>
      <c r="C49" s="389" t="s">
        <v>471</v>
      </c>
      <c r="D49" s="599"/>
      <c r="E49" s="606"/>
      <c r="F49" s="606"/>
      <c r="G49" s="600"/>
      <c r="H49" s="601"/>
      <c r="I49" s="602"/>
      <c r="J49" s="593"/>
      <c r="K49" s="587"/>
      <c r="L49" s="587"/>
      <c r="M49" s="587"/>
      <c r="N49" s="587"/>
    </row>
    <row r="50" spans="1:14" ht="12.75" customHeight="1">
      <c r="A50" s="593"/>
      <c r="B50" s="598"/>
      <c r="C50" s="603"/>
      <c r="D50" s="595"/>
      <c r="E50" s="606"/>
      <c r="F50" s="606"/>
      <c r="G50" s="601"/>
      <c r="H50" s="595"/>
      <c r="I50" s="593"/>
      <c r="J50" s="593"/>
      <c r="K50" s="587"/>
      <c r="L50" s="587"/>
      <c r="M50" s="587"/>
      <c r="N50" s="587"/>
    </row>
    <row r="51" spans="1:14" ht="12.75" customHeight="1">
      <c r="A51" s="593">
        <f>+A49+1</f>
        <v>18</v>
      </c>
      <c r="B51" s="598"/>
      <c r="C51" s="591" t="s">
        <v>205</v>
      </c>
      <c r="D51" s="599" t="s">
        <v>60</v>
      </c>
      <c r="E51" s="623">
        <v>0</v>
      </c>
      <c r="F51" s="623">
        <v>0</v>
      </c>
      <c r="G51" s="604">
        <f>IF(F51="",0,AVERAGE(E51:F51))</f>
        <v>0</v>
      </c>
      <c r="H51" s="601"/>
      <c r="I51" s="609"/>
      <c r="J51" s="593"/>
      <c r="K51" s="587"/>
      <c r="L51" s="587"/>
      <c r="M51" s="587"/>
      <c r="N51" s="587"/>
    </row>
    <row r="52" spans="1:14" ht="12.75" customHeight="1">
      <c r="A52" s="593"/>
      <c r="B52" s="598"/>
      <c r="C52" s="603"/>
      <c r="D52" s="599"/>
      <c r="E52" s="606"/>
      <c r="F52" s="606"/>
      <c r="G52" s="601"/>
      <c r="H52" s="611"/>
      <c r="I52" s="609"/>
      <c r="J52" s="593"/>
      <c r="K52" s="587"/>
      <c r="L52" s="587"/>
      <c r="M52" s="587"/>
      <c r="N52" s="587"/>
    </row>
    <row r="53" spans="1:14" ht="12.75" customHeight="1">
      <c r="A53" s="593">
        <f>+A51+1</f>
        <v>19</v>
      </c>
      <c r="B53" s="598"/>
      <c r="C53" s="603" t="s">
        <v>206</v>
      </c>
      <c r="D53" s="599" t="s">
        <v>500</v>
      </c>
      <c r="E53" s="624">
        <v>0</v>
      </c>
      <c r="F53" s="624">
        <v>0</v>
      </c>
      <c r="G53" s="604">
        <f>IF(F53="",0,AVERAGE(E53:F53))</f>
        <v>0</v>
      </c>
      <c r="H53" s="613"/>
      <c r="I53" s="610"/>
      <c r="J53" s="593"/>
      <c r="K53" s="587"/>
      <c r="L53" s="587"/>
      <c r="M53" s="587"/>
      <c r="N53" s="587"/>
    </row>
    <row r="54" spans="1:14" ht="12.75" customHeight="1">
      <c r="A54" s="593"/>
      <c r="B54" s="598"/>
      <c r="C54" s="603"/>
      <c r="D54" s="595"/>
      <c r="E54" s="606"/>
      <c r="F54" s="606"/>
      <c r="G54" s="601"/>
      <c r="H54" s="613"/>
      <c r="I54" s="610"/>
      <c r="J54" s="593"/>
      <c r="K54" s="587"/>
      <c r="L54" s="587"/>
      <c r="M54" s="587"/>
      <c r="N54" s="587"/>
    </row>
    <row r="55" spans="1:14" ht="12.75" customHeight="1">
      <c r="A55" s="593">
        <f>+A53+1</f>
        <v>20</v>
      </c>
      <c r="B55" s="598"/>
      <c r="C55" s="591" t="s">
        <v>209</v>
      </c>
      <c r="D55" s="599" t="s">
        <v>439</v>
      </c>
      <c r="E55" s="623">
        <v>9428</v>
      </c>
      <c r="F55" s="623">
        <v>920</v>
      </c>
      <c r="G55" s="604">
        <f>IF(F55="",0,AVERAGE(E55:F55))</f>
        <v>5174</v>
      </c>
      <c r="H55" s="613"/>
      <c r="I55" s="614"/>
      <c r="J55" s="593"/>
      <c r="K55" s="587"/>
      <c r="L55" s="587"/>
      <c r="M55" s="587"/>
      <c r="N55" s="587"/>
    </row>
    <row r="56" spans="1:14" ht="12.75" customHeight="1">
      <c r="A56" s="593"/>
      <c r="B56" s="598"/>
      <c r="C56" s="603"/>
      <c r="D56" s="599"/>
      <c r="E56" s="606"/>
      <c r="F56" s="606"/>
      <c r="G56" s="601"/>
      <c r="H56" s="613"/>
      <c r="I56" s="614"/>
      <c r="J56" s="593"/>
      <c r="K56" s="587"/>
      <c r="L56" s="587"/>
      <c r="M56" s="587"/>
      <c r="N56" s="587"/>
    </row>
    <row r="57" spans="1:14" ht="12.75" customHeight="1">
      <c r="A57" s="593">
        <f>+A55+1</f>
        <v>21</v>
      </c>
      <c r="B57" s="598"/>
      <c r="C57" s="603" t="s">
        <v>210</v>
      </c>
      <c r="D57" s="599" t="str">
        <f>"(Sum of Lines: "&amp;A43&amp;", "&amp;A51&amp;", "&amp;A55&amp;")"</f>
        <v>(Sum of Lines: 14, 18, 20)</v>
      </c>
      <c r="E57" s="607">
        <f>+E43+E39+E47+E51+E55</f>
        <v>9858</v>
      </c>
      <c r="F57" s="607">
        <f>+F43+F39+F47+F51+F55</f>
        <v>920</v>
      </c>
      <c r="G57" s="607">
        <f>+G43+G39+G47+G51+G55</f>
        <v>5389</v>
      </c>
      <c r="H57" s="595"/>
      <c r="I57" s="593"/>
      <c r="J57" s="595"/>
      <c r="K57" s="587"/>
      <c r="L57" s="587"/>
      <c r="M57" s="587"/>
      <c r="N57" s="587"/>
    </row>
    <row r="58" spans="1:14" ht="12.75" customHeight="1">
      <c r="A58" s="593"/>
      <c r="B58" s="598"/>
      <c r="C58" s="603"/>
      <c r="D58" s="595"/>
      <c r="E58" s="606"/>
      <c r="F58" s="606"/>
      <c r="G58" s="606"/>
      <c r="H58" s="601"/>
      <c r="I58" s="609"/>
      <c r="J58" s="585"/>
      <c r="K58" s="587"/>
      <c r="L58" s="587"/>
      <c r="M58" s="587"/>
      <c r="N58" s="587"/>
    </row>
    <row r="59" spans="1:14" ht="12.75" customHeight="1">
      <c r="A59" s="593">
        <f>+A57+1</f>
        <v>22</v>
      </c>
      <c r="B59" s="598"/>
      <c r="C59" s="603" t="str">
        <f>"Total ARO Balance (included in total on line "&amp;A57&amp;")"</f>
        <v>Total ARO Balance (included in total on line 21)</v>
      </c>
      <c r="D59" s="599" t="str">
        <f>"(Sum of Lines: "&amp;A45&amp;", "&amp;A53&amp;")"</f>
        <v>(Sum of Lines: 15, 19)</v>
      </c>
      <c r="E59" s="607">
        <f>+E45+E41+E49+E53</f>
        <v>0</v>
      </c>
      <c r="F59" s="607">
        <f>+F45+F41+F49+F53</f>
        <v>0</v>
      </c>
      <c r="G59" s="607">
        <f>+G45+G41+G49+G53</f>
        <v>0</v>
      </c>
      <c r="H59" s="611"/>
      <c r="I59" s="609"/>
      <c r="J59" s="595"/>
      <c r="K59" s="612"/>
      <c r="L59" s="612"/>
      <c r="M59" s="612"/>
      <c r="N59" s="612"/>
    </row>
    <row r="60" spans="1:14" ht="12.75" customHeight="1">
      <c r="A60" s="593"/>
      <c r="B60" s="598"/>
      <c r="C60" s="603"/>
      <c r="D60" s="599"/>
      <c r="E60" s="615"/>
      <c r="F60" s="615"/>
      <c r="G60" s="601"/>
      <c r="H60" s="611"/>
      <c r="I60" s="609"/>
      <c r="J60" s="595"/>
      <c r="K60" s="612"/>
      <c r="L60" s="612"/>
      <c r="M60" s="612"/>
      <c r="N60" s="612"/>
    </row>
    <row r="61" spans="1:14" ht="12.75" customHeight="1">
      <c r="A61" s="592" t="s">
        <v>211</v>
      </c>
      <c r="B61" s="598"/>
      <c r="C61" s="603"/>
      <c r="D61" s="599"/>
      <c r="E61" s="615"/>
      <c r="F61" s="615"/>
      <c r="G61" s="601"/>
      <c r="H61" s="611"/>
      <c r="I61" s="609"/>
      <c r="J61" s="595"/>
      <c r="K61" s="612"/>
      <c r="L61" s="612"/>
      <c r="M61" s="612"/>
      <c r="N61" s="612"/>
    </row>
    <row r="62" spans="1:14" ht="12.75" customHeight="1">
      <c r="A62" s="593"/>
      <c r="B62" s="598"/>
      <c r="C62" s="603"/>
      <c r="D62" s="599"/>
      <c r="E62" s="615"/>
      <c r="F62" s="615"/>
      <c r="G62" s="601"/>
      <c r="H62" s="611"/>
      <c r="I62" s="609"/>
      <c r="J62" s="595"/>
      <c r="K62" s="612"/>
      <c r="L62" s="612"/>
      <c r="M62" s="612"/>
      <c r="N62" s="612"/>
    </row>
    <row r="63" spans="1:14" ht="12.75" customHeight="1">
      <c r="A63" s="593">
        <f>+A59+1</f>
        <v>23</v>
      </c>
      <c r="B63" s="598"/>
      <c r="C63" s="603" t="s">
        <v>212</v>
      </c>
      <c r="D63" s="599" t="s">
        <v>500</v>
      </c>
      <c r="E63" s="623">
        <v>0</v>
      </c>
      <c r="F63" s="623">
        <v>0</v>
      </c>
      <c r="G63" s="604">
        <f>IF(F63="",0,AVERAGE(E63:F63))</f>
        <v>0</v>
      </c>
      <c r="H63" s="611"/>
      <c r="I63" s="609"/>
      <c r="J63" s="595"/>
      <c r="K63" s="612"/>
      <c r="L63" s="612"/>
      <c r="M63" s="612"/>
      <c r="N63" s="612"/>
    </row>
    <row r="64" spans="1:14" ht="12.75" customHeight="1">
      <c r="A64" s="593"/>
      <c r="B64" s="598"/>
      <c r="C64" s="603"/>
      <c r="D64" s="599"/>
      <c r="E64" s="616"/>
      <c r="F64" s="616"/>
      <c r="G64" s="604"/>
      <c r="H64" s="611"/>
      <c r="I64" s="609"/>
      <c r="J64" s="595"/>
      <c r="K64" s="612"/>
      <c r="L64" s="612"/>
      <c r="M64" s="612"/>
      <c r="N64" s="612"/>
    </row>
    <row r="65" spans="1:14" ht="12.75" customHeight="1">
      <c r="A65" s="593">
        <f>+A63+1</f>
        <v>24</v>
      </c>
      <c r="B65" s="598"/>
      <c r="C65" s="603" t="s">
        <v>213</v>
      </c>
      <c r="D65" s="599" t="s">
        <v>500</v>
      </c>
      <c r="E65" s="623">
        <v>0</v>
      </c>
      <c r="F65" s="623">
        <v>0</v>
      </c>
      <c r="G65" s="604">
        <f>IF(F65="",0,AVERAGE(E65:F65))</f>
        <v>0</v>
      </c>
      <c r="H65" s="611"/>
      <c r="I65" s="609"/>
      <c r="J65" s="595"/>
      <c r="K65" s="612"/>
      <c r="L65" s="612"/>
      <c r="M65" s="612"/>
      <c r="N65" s="612"/>
    </row>
    <row r="66" spans="1:14" ht="12.75" customHeight="1">
      <c r="A66" s="593"/>
      <c r="B66" s="598"/>
      <c r="C66" s="603"/>
      <c r="D66" s="599"/>
      <c r="E66" s="615"/>
      <c r="F66" s="615"/>
      <c r="G66" s="601"/>
      <c r="H66" s="611"/>
      <c r="I66" s="609"/>
      <c r="J66" s="595"/>
      <c r="K66" s="612"/>
      <c r="L66" s="612"/>
      <c r="M66" s="612"/>
      <c r="N66" s="612"/>
    </row>
    <row r="67" spans="1:14" ht="12.75" customHeight="1">
      <c r="A67" s="593">
        <f>+A65+1</f>
        <v>25</v>
      </c>
      <c r="B67" s="598"/>
      <c r="C67" s="603" t="s">
        <v>233</v>
      </c>
      <c r="D67" s="599" t="str">
        <f>"(Line "&amp;A63&amp;" - Line  "&amp;A65&amp;")"</f>
        <v>(Line 23 - Line  24)</v>
      </c>
      <c r="E67" s="607">
        <f>+E63-E65</f>
        <v>0</v>
      </c>
      <c r="F67" s="607">
        <f>+F63-F65</f>
        <v>0</v>
      </c>
      <c r="G67" s="607">
        <f>+G63-G65</f>
        <v>0</v>
      </c>
      <c r="H67" s="611"/>
      <c r="I67" s="609"/>
      <c r="J67" s="595"/>
      <c r="K67" s="612"/>
      <c r="L67" s="612"/>
      <c r="M67" s="612"/>
      <c r="N67" s="612"/>
    </row>
    <row r="68" spans="1:14" ht="12.75" customHeight="1">
      <c r="A68" s="593"/>
      <c r="B68" s="598"/>
      <c r="C68" s="603"/>
      <c r="D68" s="599"/>
      <c r="E68" s="616"/>
      <c r="F68" s="616"/>
      <c r="G68" s="616"/>
      <c r="H68" s="611"/>
      <c r="I68" s="609"/>
      <c r="J68" s="595"/>
      <c r="K68" s="612"/>
      <c r="L68" s="612"/>
      <c r="M68" s="612"/>
      <c r="N68" s="612"/>
    </row>
    <row r="69" spans="1:14" ht="12.75" customHeight="1">
      <c r="A69" s="617" t="s">
        <v>446</v>
      </c>
      <c r="B69" s="598"/>
      <c r="C69" s="603"/>
      <c r="D69" s="599"/>
      <c r="E69" s="616"/>
      <c r="F69" s="616"/>
      <c r="G69" s="616"/>
      <c r="H69" s="611"/>
      <c r="I69" s="609"/>
      <c r="J69" s="595"/>
      <c r="K69" s="612"/>
      <c r="L69" s="612"/>
      <c r="M69" s="612"/>
      <c r="N69" s="612"/>
    </row>
    <row r="70" spans="1:14" ht="12.75" customHeight="1">
      <c r="A70" s="617"/>
      <c r="B70" s="598"/>
      <c r="C70" s="603"/>
      <c r="D70" s="599"/>
      <c r="E70" s="616"/>
      <c r="F70" s="616"/>
      <c r="G70" s="616"/>
      <c r="H70" s="611"/>
      <c r="I70" s="609"/>
      <c r="J70" s="595"/>
      <c r="K70" s="612"/>
      <c r="L70" s="612"/>
      <c r="M70" s="612"/>
      <c r="N70" s="612"/>
    </row>
    <row r="71" spans="1:14" ht="12.75" customHeight="1">
      <c r="A71" s="593">
        <f>+A67+1</f>
        <v>26</v>
      </c>
      <c r="B71" s="598"/>
      <c r="C71" s="603" t="s">
        <v>753</v>
      </c>
      <c r="D71" s="599" t="str">
        <f>"(Line "&amp;A43&amp;" Above)"</f>
        <v>(Line 14 Above)</v>
      </c>
      <c r="E71" s="616">
        <f>+E43</f>
        <v>430</v>
      </c>
      <c r="F71" s="616">
        <f>+F43</f>
        <v>0</v>
      </c>
      <c r="G71" s="604">
        <f>IF(F71="",0,AVERAGE(E71:F71))</f>
        <v>215</v>
      </c>
      <c r="H71" s="611"/>
      <c r="I71" s="609"/>
      <c r="J71" s="595"/>
      <c r="K71" s="612"/>
      <c r="L71" s="612"/>
      <c r="M71" s="612"/>
      <c r="N71" s="612"/>
    </row>
    <row r="72" spans="1:14" ht="12.75" customHeight="1">
      <c r="A72" s="593"/>
      <c r="B72" s="598"/>
      <c r="C72" s="603"/>
      <c r="D72" s="599"/>
      <c r="E72" s="616"/>
      <c r="F72" s="616"/>
      <c r="G72" s="604"/>
      <c r="H72" s="611"/>
      <c r="I72" s="609"/>
      <c r="J72" s="595"/>
      <c r="K72" s="612"/>
      <c r="L72" s="612"/>
      <c r="M72" s="612"/>
      <c r="N72" s="612"/>
    </row>
    <row r="73" spans="1:14" ht="12.75" customHeight="1">
      <c r="A73" s="593">
        <f>+A71+1</f>
        <v>27</v>
      </c>
      <c r="B73" s="598"/>
      <c r="C73" s="603" t="s">
        <v>448</v>
      </c>
      <c r="D73" s="599" t="str">
        <f>"(Line "&amp;A65&amp;" Above)"</f>
        <v>(Line 24 Above)</v>
      </c>
      <c r="E73" s="615">
        <f>+E65</f>
        <v>0</v>
      </c>
      <c r="F73" s="615">
        <f>+F65</f>
        <v>0</v>
      </c>
      <c r="G73" s="604">
        <f>IF(F73="",0,AVERAGE(E73:F73))</f>
        <v>0</v>
      </c>
      <c r="H73" s="611"/>
      <c r="I73" s="609"/>
      <c r="J73" s="595"/>
      <c r="K73" s="612"/>
      <c r="L73" s="612"/>
      <c r="M73" s="612"/>
      <c r="N73" s="612"/>
    </row>
    <row r="74" spans="1:14" ht="12.75" customHeight="1">
      <c r="A74" s="593"/>
      <c r="B74" s="598"/>
      <c r="C74" s="603"/>
      <c r="D74" s="599"/>
      <c r="E74" s="615"/>
      <c r="F74" s="615"/>
      <c r="G74" s="601"/>
      <c r="H74" s="611"/>
      <c r="I74" s="609"/>
      <c r="J74" s="595"/>
      <c r="K74" s="612"/>
      <c r="L74" s="612"/>
      <c r="M74" s="612"/>
      <c r="N74" s="612"/>
    </row>
    <row r="75" spans="1:14" ht="12.75" customHeight="1">
      <c r="A75" s="593">
        <f>+A73+1</f>
        <v>28</v>
      </c>
      <c r="B75" s="598"/>
      <c r="C75" s="603" t="s">
        <v>447</v>
      </c>
      <c r="D75" s="599" t="str">
        <f>"(Line "&amp;A71&amp;" - Line  "&amp;A73&amp;")"</f>
        <v>(Line 26 - Line  27)</v>
      </c>
      <c r="E75" s="607">
        <f>+E71-E73</f>
        <v>430</v>
      </c>
      <c r="F75" s="607">
        <f>+F71-F73</f>
        <v>0</v>
      </c>
      <c r="G75" s="618">
        <f>+G71-G73</f>
        <v>215</v>
      </c>
      <c r="H75" s="611"/>
      <c r="I75" s="609"/>
      <c r="J75" s="595"/>
      <c r="K75" s="612"/>
      <c r="L75" s="612"/>
      <c r="M75" s="612"/>
      <c r="N75" s="612"/>
    </row>
    <row r="76" spans="1:14" ht="12.75" customHeight="1">
      <c r="A76" s="593"/>
      <c r="B76" s="598"/>
      <c r="C76" s="603"/>
      <c r="D76" s="599"/>
      <c r="E76" s="615"/>
      <c r="F76" s="615"/>
      <c r="G76" s="601"/>
      <c r="H76" s="611"/>
      <c r="I76" s="609"/>
      <c r="J76" s="595"/>
      <c r="K76" s="612"/>
      <c r="L76" s="612"/>
      <c r="M76" s="612"/>
      <c r="N76" s="612"/>
    </row>
    <row r="77" spans="1:14" ht="12.75" customHeight="1">
      <c r="A77" s="592" t="s">
        <v>494</v>
      </c>
      <c r="B77" s="598"/>
      <c r="C77" s="606"/>
      <c r="D77" s="595"/>
      <c r="E77" s="606"/>
      <c r="F77" s="606"/>
      <c r="G77" s="601"/>
      <c r="H77" s="611"/>
      <c r="I77" s="609"/>
      <c r="J77" s="595"/>
      <c r="K77" s="612"/>
      <c r="L77" s="612"/>
      <c r="M77" s="612"/>
      <c r="N77" s="612"/>
    </row>
    <row r="78" spans="1:14" ht="12.75" customHeight="1">
      <c r="A78" s="593"/>
      <c r="B78" s="594"/>
      <c r="D78" s="595"/>
      <c r="E78" s="595"/>
      <c r="F78" s="595"/>
      <c r="G78" s="601"/>
      <c r="H78" s="611"/>
      <c r="I78" s="609"/>
      <c r="J78" s="595"/>
      <c r="K78" s="612"/>
      <c r="L78" s="612"/>
      <c r="M78" s="612"/>
      <c r="N78" s="612"/>
    </row>
    <row r="79" spans="1:14" ht="12.75" customHeight="1">
      <c r="A79" s="593">
        <f>+A75+1</f>
        <v>29</v>
      </c>
      <c r="B79" s="585"/>
      <c r="C79" s="592" t="s">
        <v>494</v>
      </c>
      <c r="D79" s="599" t="s">
        <v>235</v>
      </c>
      <c r="E79" s="623">
        <v>0</v>
      </c>
      <c r="F79" s="623">
        <v>0</v>
      </c>
      <c r="G79" s="604">
        <f>IF(F79="",0,AVERAGE(E79:F79))</f>
        <v>0</v>
      </c>
      <c r="H79" s="611"/>
      <c r="I79" s="609"/>
      <c r="J79" s="595"/>
      <c r="K79" s="612"/>
      <c r="L79" s="612"/>
      <c r="M79" s="612"/>
      <c r="N79" s="612"/>
    </row>
    <row r="80" spans="1:14" ht="12.75" customHeight="1">
      <c r="A80" s="619"/>
      <c r="B80" s="585"/>
      <c r="C80" s="585"/>
      <c r="D80" s="585"/>
      <c r="E80" s="585"/>
      <c r="F80" s="585"/>
      <c r="G80" s="601"/>
      <c r="H80" s="611"/>
      <c r="I80" s="609"/>
      <c r="J80" s="595"/>
      <c r="K80" s="612"/>
      <c r="L80" s="612"/>
      <c r="M80" s="612"/>
      <c r="N80" s="612"/>
    </row>
    <row r="81" spans="1:14" ht="12.75" customHeight="1">
      <c r="A81" s="593">
        <f>+A79+1</f>
        <v>30</v>
      </c>
      <c r="B81" s="594"/>
      <c r="C81" s="592" t="s">
        <v>234</v>
      </c>
      <c r="D81" s="599" t="s">
        <v>500</v>
      </c>
      <c r="E81" s="623">
        <v>0</v>
      </c>
      <c r="F81" s="623">
        <v>0</v>
      </c>
      <c r="G81" s="604">
        <f>IF(F81="",0,AVERAGE(E81:F81))</f>
        <v>0</v>
      </c>
      <c r="H81" s="611"/>
      <c r="I81" s="609"/>
      <c r="J81" s="595"/>
      <c r="K81" s="612"/>
      <c r="L81" s="612"/>
      <c r="M81" s="612"/>
      <c r="N81" s="612"/>
    </row>
    <row r="82" spans="1:14" ht="12.75" customHeight="1">
      <c r="A82" s="352"/>
      <c r="B82" s="352"/>
      <c r="C82" s="352"/>
      <c r="D82" s="468"/>
      <c r="E82" s="352"/>
      <c r="F82" s="352"/>
      <c r="G82" s="352"/>
      <c r="H82" s="352"/>
      <c r="I82" s="352"/>
      <c r="J82" s="352"/>
      <c r="K82" s="352"/>
      <c r="L82" s="612"/>
      <c r="M82" s="612"/>
      <c r="N82" s="612"/>
    </row>
    <row r="83" spans="1:14" ht="12.75" customHeight="1">
      <c r="A83" s="592" t="s">
        <v>76</v>
      </c>
      <c r="B83" s="352"/>
      <c r="C83" s="620"/>
      <c r="D83" s="352"/>
      <c r="E83" s="352"/>
      <c r="F83" s="352"/>
      <c r="G83" s="352"/>
      <c r="H83" s="352"/>
      <c r="I83" s="352"/>
      <c r="J83" s="352"/>
      <c r="K83" s="352"/>
      <c r="L83" s="612"/>
      <c r="M83" s="612"/>
      <c r="N83" s="612"/>
    </row>
    <row r="84" spans="1:10" ht="12.75">
      <c r="A84" s="574"/>
      <c r="B84" s="585"/>
      <c r="C84" s="585" t="s">
        <v>219</v>
      </c>
      <c r="D84" s="585"/>
      <c r="E84" s="585"/>
      <c r="F84" s="585"/>
      <c r="G84" s="585"/>
      <c r="H84" s="585"/>
      <c r="J84" s="585"/>
    </row>
    <row r="85" spans="1:10" ht="12.75">
      <c r="A85" s="593">
        <f>+A81+1</f>
        <v>31</v>
      </c>
      <c r="B85" s="585"/>
      <c r="C85" s="585" t="s">
        <v>954</v>
      </c>
      <c r="D85" s="585"/>
      <c r="E85" s="625">
        <f>F94</f>
        <v>0</v>
      </c>
      <c r="F85" s="626">
        <v>13404</v>
      </c>
      <c r="G85" s="604">
        <f aca="true" t="shared" si="0" ref="G85:G95">IF(F85="",0,AVERAGE(E85:F85))</f>
        <v>6702</v>
      </c>
      <c r="H85" s="585"/>
      <c r="J85" s="585"/>
    </row>
    <row r="86" spans="1:10" ht="12.75">
      <c r="A86" s="593">
        <f aca="true" t="shared" si="1" ref="A86:A95">+A85+1</f>
        <v>32</v>
      </c>
      <c r="B86" s="585"/>
      <c r="C86" s="585" t="s">
        <v>24</v>
      </c>
      <c r="D86" s="585"/>
      <c r="E86" s="626">
        <v>0</v>
      </c>
      <c r="F86" s="626">
        <v>6</v>
      </c>
      <c r="G86" s="604">
        <f t="shared" si="0"/>
        <v>3</v>
      </c>
      <c r="H86" s="585"/>
      <c r="J86" s="585"/>
    </row>
    <row r="87" spans="1:10" ht="12.75">
      <c r="A87" s="593">
        <f t="shared" si="1"/>
        <v>33</v>
      </c>
      <c r="B87" s="585"/>
      <c r="C87" s="585" t="s">
        <v>25</v>
      </c>
      <c r="D87" s="599" t="s">
        <v>880</v>
      </c>
      <c r="E87" s="616">
        <f>+IF(E85=0,0,+E85/E86)</f>
        <v>0</v>
      </c>
      <c r="F87" s="616">
        <f>+IF(F85=0,0,+F85/F86)</f>
        <v>2234</v>
      </c>
      <c r="G87" s="604">
        <f t="shared" si="0"/>
        <v>1117</v>
      </c>
      <c r="H87" s="585"/>
      <c r="J87" s="585"/>
    </row>
    <row r="88" spans="1:10" ht="12.75">
      <c r="A88" s="593">
        <f t="shared" si="1"/>
        <v>34</v>
      </c>
      <c r="B88" s="585"/>
      <c r="C88" s="585" t="str">
        <f>"Months in "&amp;TCOS!O1&amp;" to be amortized"</f>
        <v>Months in   to be amortized</v>
      </c>
      <c r="D88" s="599"/>
      <c r="E88" s="626">
        <v>0</v>
      </c>
      <c r="F88" s="626">
        <v>6</v>
      </c>
      <c r="G88" s="604">
        <f t="shared" si="0"/>
        <v>3</v>
      </c>
      <c r="H88" s="585"/>
      <c r="J88" s="585"/>
    </row>
    <row r="89" spans="1:10" ht="12.75">
      <c r="A89" s="593">
        <f t="shared" si="1"/>
        <v>35</v>
      </c>
      <c r="B89" s="585"/>
      <c r="C89" s="585" t="str">
        <f>"Amortization Expense in "&amp;TCOS!L2&amp;""</f>
        <v>Amortization Expense in 2017</v>
      </c>
      <c r="D89" s="599" t="s">
        <v>881</v>
      </c>
      <c r="E89" s="616">
        <f>E87*E88</f>
        <v>0</v>
      </c>
      <c r="F89" s="616">
        <f>F87*F88</f>
        <v>13404</v>
      </c>
      <c r="G89" s="604">
        <f t="shared" si="0"/>
        <v>6702</v>
      </c>
      <c r="H89" s="585"/>
      <c r="J89" s="585"/>
    </row>
    <row r="90" spans="1:10" ht="12.75">
      <c r="A90" s="593">
        <f t="shared" si="1"/>
        <v>36</v>
      </c>
      <c r="B90" s="585"/>
      <c r="C90" s="585" t="str">
        <f>"Months in "&amp;TCOS!L2&amp;" to be amortized"</f>
        <v>Months in 2017 to be amortized</v>
      </c>
      <c r="D90" s="599" t="s">
        <v>882</v>
      </c>
      <c r="E90" s="626">
        <v>0</v>
      </c>
      <c r="F90" s="626">
        <v>0</v>
      </c>
      <c r="G90" s="604">
        <f t="shared" si="0"/>
        <v>0</v>
      </c>
      <c r="H90" s="585"/>
      <c r="J90" s="585"/>
    </row>
    <row r="91" spans="1:10" ht="12.75">
      <c r="A91" s="593">
        <f t="shared" si="1"/>
        <v>37</v>
      </c>
      <c r="B91" s="585"/>
      <c r="C91" s="585" t="str">
        <f>"Amortization Expense in "&amp;TCOS!L2&amp;""</f>
        <v>Amortization Expense in 2017</v>
      </c>
      <c r="D91" s="599" t="s">
        <v>883</v>
      </c>
      <c r="E91" s="616">
        <f>E87*E90</f>
        <v>0</v>
      </c>
      <c r="F91" s="616">
        <f>F87*F90</f>
        <v>0</v>
      </c>
      <c r="G91" s="604">
        <f t="shared" si="0"/>
        <v>0</v>
      </c>
      <c r="H91" s="585"/>
      <c r="J91" s="585"/>
    </row>
    <row r="92" spans="1:10" ht="12.75">
      <c r="A92" s="593">
        <f t="shared" si="1"/>
        <v>38</v>
      </c>
      <c r="B92" s="585"/>
      <c r="C92" s="585" t="s">
        <v>26</v>
      </c>
      <c r="D92" s="585"/>
      <c r="E92" s="616">
        <f>+E85-E87*E88</f>
        <v>0</v>
      </c>
      <c r="F92" s="616">
        <f>+F85-F87*F88</f>
        <v>0</v>
      </c>
      <c r="G92" s="604">
        <f t="shared" si="0"/>
        <v>0</v>
      </c>
      <c r="H92" s="585"/>
      <c r="J92" s="585"/>
    </row>
    <row r="93" spans="1:10" ht="12.75">
      <c r="A93" s="593">
        <f t="shared" si="1"/>
        <v>39</v>
      </c>
      <c r="B93" s="585"/>
      <c r="C93" s="585" t="s">
        <v>27</v>
      </c>
      <c r="D93" s="585"/>
      <c r="E93" s="621">
        <f>+E85/2+E92/2</f>
        <v>0</v>
      </c>
      <c r="F93" s="621">
        <f>+F85/2+F92/2</f>
        <v>6702</v>
      </c>
      <c r="G93" s="622">
        <f t="shared" si="0"/>
        <v>3351</v>
      </c>
      <c r="H93" s="585"/>
      <c r="J93" s="585"/>
    </row>
    <row r="94" spans="1:10" ht="12.75">
      <c r="A94" s="593">
        <f t="shared" si="1"/>
        <v>40</v>
      </c>
      <c r="B94" s="585"/>
      <c r="C94" s="574" t="str">
        <f>"Unamortized Balance of Regulatory Asset at YE "&amp;TCOS!O1&amp;""</f>
        <v>Unamortized Balance of Regulatory Asset at YE  </v>
      </c>
      <c r="D94" s="585"/>
      <c r="E94" s="616">
        <f>E92</f>
        <v>0</v>
      </c>
      <c r="F94" s="616">
        <f>F92</f>
        <v>0</v>
      </c>
      <c r="G94" s="604">
        <f t="shared" si="0"/>
        <v>0</v>
      </c>
      <c r="H94" s="585"/>
      <c r="J94" s="585"/>
    </row>
    <row r="95" spans="1:10" ht="12.75">
      <c r="A95" s="593">
        <f t="shared" si="1"/>
        <v>41</v>
      </c>
      <c r="B95" s="585"/>
      <c r="C95" s="585" t="s">
        <v>955</v>
      </c>
      <c r="D95" s="585"/>
      <c r="E95" s="604">
        <v>0</v>
      </c>
      <c r="F95" s="604">
        <v>0</v>
      </c>
      <c r="G95" s="604">
        <f t="shared" si="0"/>
        <v>0</v>
      </c>
      <c r="H95" s="585"/>
      <c r="J95" s="585"/>
    </row>
    <row r="96" spans="1:10" ht="12.75">
      <c r="A96" s="593"/>
      <c r="B96" s="585"/>
      <c r="C96" s="585"/>
      <c r="D96" s="585"/>
      <c r="E96" s="585"/>
      <c r="F96" s="585"/>
      <c r="G96" s="585"/>
      <c r="H96" s="585"/>
      <c r="J96" s="585"/>
    </row>
    <row r="97" spans="1:10" ht="12.75">
      <c r="A97" s="593" t="s">
        <v>549</v>
      </c>
      <c r="B97" s="585" t="s">
        <v>268</v>
      </c>
      <c r="C97" s="585"/>
      <c r="D97" s="585"/>
      <c r="E97" s="585"/>
      <c r="F97" s="585"/>
      <c r="G97" s="585"/>
      <c r="H97" s="585"/>
      <c r="J97" s="585"/>
    </row>
    <row r="98" spans="1:10" ht="12.75">
      <c r="A98" s="593"/>
      <c r="B98" s="1186"/>
      <c r="C98" s="1186"/>
      <c r="D98" s="1186"/>
      <c r="E98" s="1186"/>
      <c r="F98" s="1186"/>
      <c r="G98" s="1186"/>
      <c r="H98" s="585"/>
      <c r="J98" s="585"/>
    </row>
    <row r="99" spans="2:10" ht="12.75">
      <c r="B99" s="1186"/>
      <c r="C99" s="1186"/>
      <c r="D99" s="1186"/>
      <c r="E99" s="1186"/>
      <c r="F99" s="1186"/>
      <c r="G99" s="1186"/>
      <c r="H99" s="585"/>
      <c r="J99" s="585"/>
    </row>
  </sheetData>
  <sheetProtection password="CA99" sheet="1" objects="1" scenarios="1"/>
  <mergeCells count="7">
    <mergeCell ref="G7:G8"/>
    <mergeCell ref="A2:G2"/>
    <mergeCell ref="A1:G1"/>
    <mergeCell ref="A3:G3"/>
    <mergeCell ref="A4:G4"/>
    <mergeCell ref="E7:E8"/>
    <mergeCell ref="F7:F8"/>
  </mergeCells>
  <printOptions/>
  <pageMargins left="0.26" right="1.28" top="1" bottom="1" header="0.75" footer="0.5"/>
  <pageSetup fitToHeight="1" fitToWidth="1" horizontalDpi="600" verticalDpi="600" orientation="portrait" scale="10" r:id="rId1"/>
  <headerFooter alignWithMargins="0">
    <oddHeader>&amp;R&amp;"Arial,Bold"Formula Rate 
&amp;A
Page &amp;P of &amp;N</oddHeader>
  </headerFooter>
</worksheet>
</file>

<file path=xl/worksheets/sheet4.xml><?xml version="1.0" encoding="utf-8"?>
<worksheet xmlns="http://schemas.openxmlformats.org/spreadsheetml/2006/main" xmlns:r="http://schemas.openxmlformats.org/officeDocument/2006/relationships">
  <sheetPr>
    <tabColor rgb="FFCCFFFF"/>
    <pageSetUpPr fitToPage="1"/>
  </sheetPr>
  <dimension ref="A1:L220"/>
  <sheetViews>
    <sheetView zoomScale="75" zoomScaleNormal="75" zoomScalePageLayoutView="0" workbookViewId="0" topLeftCell="A7">
      <selection activeCell="D12" sqref="D12"/>
    </sheetView>
  </sheetViews>
  <sheetFormatPr defaultColWidth="9.140625" defaultRowHeight="12.75"/>
  <cols>
    <col min="1" max="1" width="9.140625" style="62" customWidth="1"/>
    <col min="2" max="2" width="0.85546875" style="66" customWidth="1"/>
    <col min="3" max="3" width="41.57421875" style="62" customWidth="1"/>
    <col min="4" max="4" width="30.8515625" style="62" bestFit="1" customWidth="1"/>
    <col min="5" max="5" width="23.28125" style="62" customWidth="1"/>
    <col min="6" max="6" width="3.7109375" style="62" customWidth="1"/>
    <col min="7" max="7" width="25.00390625" style="62" customWidth="1"/>
    <col min="8" max="8" width="3.7109375" style="62" customWidth="1"/>
    <col min="9" max="9" width="23.421875" style="62" customWidth="1"/>
    <col min="10" max="10" width="15.7109375" style="62" customWidth="1"/>
    <col min="11" max="12" width="9.140625" style="62" customWidth="1"/>
    <col min="13" max="13" width="10.00390625" style="62" bestFit="1" customWidth="1"/>
    <col min="14" max="14" width="17.7109375" style="62" customWidth="1"/>
    <col min="15" max="15" width="15.57421875" style="62" bestFit="1" customWidth="1"/>
    <col min="16" max="16384" width="9.140625" style="62" customWidth="1"/>
  </cols>
  <sheetData>
    <row r="1" spans="1:10" ht="15">
      <c r="A1" s="1250" t="str">
        <f>TCOS!$F$3</f>
        <v>AEPTCo subsidiaries in PJM</v>
      </c>
      <c r="B1" s="1250" t="str">
        <f>TCOS!$F$3</f>
        <v>AEPTCo subsidiaries in PJM</v>
      </c>
      <c r="C1" s="1250" t="str">
        <f>TCOS!$F$3</f>
        <v>AEPTCo subsidiaries in PJM</v>
      </c>
      <c r="D1" s="1250" t="str">
        <f>TCOS!$F$3</f>
        <v>AEPTCo subsidiaries in PJM</v>
      </c>
      <c r="E1" s="1250" t="str">
        <f>TCOS!$F$3</f>
        <v>AEPTCo subsidiaries in PJM</v>
      </c>
      <c r="F1" s="1250" t="str">
        <f>TCOS!$F$3</f>
        <v>AEPTCo subsidiaries in PJM</v>
      </c>
      <c r="G1" s="1250" t="str">
        <f>TCOS!$F$3</f>
        <v>AEPTCo subsidiaries in PJM</v>
      </c>
      <c r="H1" s="1250" t="str">
        <f>TCOS!$F$3</f>
        <v>AEPTCo subsidiaries in PJM</v>
      </c>
      <c r="I1" s="1250" t="str">
        <f>TCOS!$F$3</f>
        <v>AEPTCo subsidiaries in PJM</v>
      </c>
      <c r="J1" s="70"/>
    </row>
    <row r="2" spans="1:10" ht="15">
      <c r="A2" s="1251" t="str">
        <f>"Cost of Service Formula Rate Using Actual/Projected FF1 Balances"</f>
        <v>Cost of Service Formula Rate Using Actual/Projected FF1 Balances</v>
      </c>
      <c r="B2" s="1251"/>
      <c r="C2" s="1251"/>
      <c r="D2" s="1251"/>
      <c r="E2" s="1251"/>
      <c r="F2" s="1251"/>
      <c r="G2" s="1251"/>
      <c r="H2" s="1251"/>
      <c r="I2" s="1251"/>
      <c r="J2" s="128"/>
    </row>
    <row r="3" spans="1:10" ht="15">
      <c r="A3" s="1251" t="s">
        <v>370</v>
      </c>
      <c r="B3" s="1251"/>
      <c r="C3" s="1251"/>
      <c r="D3" s="1251"/>
      <c r="E3" s="1251"/>
      <c r="F3" s="1251"/>
      <c r="G3" s="1251"/>
      <c r="H3" s="1251"/>
      <c r="I3" s="1251"/>
      <c r="J3" s="127"/>
    </row>
    <row r="4" spans="1:10" ht="15">
      <c r="A4" s="1254" t="str">
        <f>+'WS A  - RB Support '!A4:F4</f>
        <v>AEP APPALACHIAN TRANSMISSION COMPANY</v>
      </c>
      <c r="B4" s="1254"/>
      <c r="C4" s="1254"/>
      <c r="D4" s="1254"/>
      <c r="E4" s="1254"/>
      <c r="F4" s="1254"/>
      <c r="G4" s="1254"/>
      <c r="H4" s="1254"/>
      <c r="I4" s="1254"/>
      <c r="J4" s="10"/>
    </row>
    <row r="5" spans="3:4" ht="12.75">
      <c r="C5" s="64"/>
      <c r="D5" s="64"/>
    </row>
    <row r="6" spans="3:12" ht="12.75">
      <c r="C6" s="38" t="s">
        <v>683</v>
      </c>
      <c r="D6" s="38" t="s">
        <v>684</v>
      </c>
      <c r="E6" s="38" t="s">
        <v>685</v>
      </c>
      <c r="G6" s="38" t="s">
        <v>686</v>
      </c>
      <c r="I6" s="38" t="s">
        <v>606</v>
      </c>
      <c r="J6" s="38"/>
      <c r="K6"/>
      <c r="L6"/>
    </row>
    <row r="7" spans="1:12" ht="12.75">
      <c r="A7" s="126"/>
      <c r="I7" s="43"/>
      <c r="J7"/>
      <c r="K7"/>
      <c r="L7"/>
    </row>
    <row r="8" spans="1:12" ht="12.75" customHeight="1">
      <c r="A8" s="1214" t="s">
        <v>690</v>
      </c>
      <c r="B8" s="1190"/>
      <c r="C8" s="1191"/>
      <c r="D8" s="1191"/>
      <c r="E8" s="1252" t="str">
        <f>"Balance @   December 31, "&amp;TCOS!L2&amp;""</f>
        <v>Balance @   December 31, 2017</v>
      </c>
      <c r="F8" s="1192"/>
      <c r="G8" s="1252" t="str">
        <f>"Balance @   December 31,  "&amp;TCOS!L2-1&amp;""</f>
        <v>Balance @   December 31,  2016</v>
      </c>
      <c r="H8" s="1192"/>
      <c r="I8" s="1255" t="str">
        <f>"Average Balance     for "&amp;TCOS!L2&amp;""</f>
        <v>Average Balance     for 2017</v>
      </c>
      <c r="J8" s="1193"/>
      <c r="K8"/>
      <c r="L8"/>
    </row>
    <row r="9" spans="1:12" ht="15">
      <c r="A9" s="1189" t="s">
        <v>628</v>
      </c>
      <c r="B9" s="1194"/>
      <c r="C9" s="1189" t="s">
        <v>688</v>
      </c>
      <c r="D9" s="1189" t="s">
        <v>749</v>
      </c>
      <c r="E9" s="1253"/>
      <c r="F9" s="1195"/>
      <c r="G9" s="1253"/>
      <c r="H9" s="1195"/>
      <c r="I9" s="1253"/>
      <c r="J9" s="1193"/>
      <c r="K9"/>
      <c r="L9"/>
    </row>
    <row r="10" spans="1:10" ht="15">
      <c r="A10" s="1196"/>
      <c r="B10" s="1190"/>
      <c r="C10" s="1197"/>
      <c r="D10" s="1197"/>
      <c r="E10" s="1198"/>
      <c r="F10" s="1198"/>
      <c r="G10" s="1199"/>
      <c r="H10" s="1198"/>
      <c r="I10" s="1198"/>
      <c r="J10" s="1198"/>
    </row>
    <row r="11" spans="1:10" ht="15">
      <c r="A11" s="1196"/>
      <c r="B11" s="1190"/>
      <c r="C11" s="1197"/>
      <c r="D11" s="1197"/>
      <c r="E11" s="1198"/>
      <c r="F11" s="1198"/>
      <c r="G11" s="1198"/>
      <c r="H11" s="1198"/>
      <c r="I11" s="1198"/>
      <c r="J11" s="1198"/>
    </row>
    <row r="12" spans="1:10" ht="15">
      <c r="A12" s="1196"/>
      <c r="B12" s="1190"/>
      <c r="C12" s="1197"/>
      <c r="D12" s="1197"/>
      <c r="E12" s="1198"/>
      <c r="F12" s="1198"/>
      <c r="G12" s="1198"/>
      <c r="H12" s="1198"/>
      <c r="I12" s="1198"/>
      <c r="J12" s="1198"/>
    </row>
    <row r="13" spans="1:10" ht="15">
      <c r="A13" s="1196">
        <v>1</v>
      </c>
      <c r="B13" s="1190"/>
      <c r="C13" s="1189" t="s">
        <v>440</v>
      </c>
      <c r="D13" s="1189"/>
      <c r="E13" s="1198"/>
      <c r="F13" s="1198"/>
      <c r="G13" s="1198"/>
      <c r="H13" s="1198"/>
      <c r="I13" s="1198"/>
      <c r="J13" s="1198"/>
    </row>
    <row r="14" spans="1:10" ht="15">
      <c r="A14" s="1196"/>
      <c r="B14" s="1190"/>
      <c r="C14" s="1189"/>
      <c r="D14" s="1189"/>
      <c r="E14" s="1198"/>
      <c r="F14" s="1198"/>
      <c r="G14" s="1198"/>
      <c r="H14" s="1193"/>
      <c r="I14" s="1198"/>
      <c r="J14" s="1198"/>
    </row>
    <row r="15" spans="1:10" ht="14.25">
      <c r="A15" s="1196">
        <f>+A13+1</f>
        <v>2</v>
      </c>
      <c r="B15" s="1190"/>
      <c r="C15" s="1200" t="s">
        <v>451</v>
      </c>
      <c r="D15" s="1201" t="s">
        <v>453</v>
      </c>
      <c r="E15" s="1202">
        <v>0</v>
      </c>
      <c r="F15" s="1198"/>
      <c r="G15" s="1202">
        <v>0</v>
      </c>
      <c r="H15" s="1193"/>
      <c r="I15" s="1203">
        <f>IF(G15="",0,(E15+G15)/2)</f>
        <v>0</v>
      </c>
      <c r="J15" s="1198"/>
    </row>
    <row r="16" spans="1:10" ht="14.25">
      <c r="A16" s="1196">
        <f>+A15+1</f>
        <v>3</v>
      </c>
      <c r="B16" s="1190"/>
      <c r="C16" s="1200" t="s">
        <v>455</v>
      </c>
      <c r="D16" s="1196" t="s">
        <v>500</v>
      </c>
      <c r="E16" s="1202">
        <v>0</v>
      </c>
      <c r="F16" s="1198"/>
      <c r="G16" s="1202">
        <v>0</v>
      </c>
      <c r="H16" s="1193"/>
      <c r="I16" s="1203">
        <f>IF(G16="",0,(E16+G16)/2)</f>
        <v>0</v>
      </c>
      <c r="J16" s="1198"/>
    </row>
    <row r="17" spans="1:10" ht="16.5">
      <c r="A17" s="1196">
        <f>+A16+1</f>
        <v>4</v>
      </c>
      <c r="B17" s="1190"/>
      <c r="C17" s="1200" t="s">
        <v>456</v>
      </c>
      <c r="D17" s="1196" t="s">
        <v>500</v>
      </c>
      <c r="E17" s="1205">
        <v>0</v>
      </c>
      <c r="F17" s="1198"/>
      <c r="G17" s="1205">
        <v>0</v>
      </c>
      <c r="H17" s="1198"/>
      <c r="I17" s="1206">
        <f>IF(G17="",0,(E17+G17)/2)</f>
        <v>0</v>
      </c>
      <c r="J17" s="1198"/>
    </row>
    <row r="18" spans="1:10" ht="14.25">
      <c r="A18" s="1196">
        <f>+A17+1</f>
        <v>5</v>
      </c>
      <c r="B18" s="1190"/>
      <c r="C18" s="1200" t="s">
        <v>452</v>
      </c>
      <c r="D18" s="1207" t="str">
        <f>"Ln "&amp;A15&amp;" - ln "&amp;A16&amp;" - ln "&amp;A17&amp;""</f>
        <v>Ln 2 - ln 3 - ln 4</v>
      </c>
      <c r="E18" s="1208">
        <f>+E15-E16-E17</f>
        <v>0</v>
      </c>
      <c r="F18" s="1198"/>
      <c r="G18" s="1208">
        <f>+G15-G16-G17</f>
        <v>0</v>
      </c>
      <c r="H18" s="1198"/>
      <c r="I18" s="1203">
        <f>+I15-I16-I17</f>
        <v>0</v>
      </c>
      <c r="J18" s="1198"/>
    </row>
    <row r="19" spans="1:10" ht="14.25">
      <c r="A19" s="1196"/>
      <c r="B19" s="1190"/>
      <c r="C19" s="1200"/>
      <c r="D19" s="1200"/>
      <c r="E19" s="1198"/>
      <c r="F19" s="1198"/>
      <c r="G19" s="1198"/>
      <c r="H19" s="1198"/>
      <c r="I19" s="1198"/>
      <c r="J19" s="1198"/>
    </row>
    <row r="20" spans="1:10" ht="14.25">
      <c r="A20" s="1196"/>
      <c r="B20" s="1190"/>
      <c r="C20" s="1200"/>
      <c r="D20" s="1200"/>
      <c r="E20" s="1198"/>
      <c r="F20" s="1198"/>
      <c r="G20" s="1198"/>
      <c r="H20" s="1198"/>
      <c r="I20" s="1198"/>
      <c r="J20" s="1198"/>
    </row>
    <row r="21" spans="1:10" ht="15">
      <c r="A21" s="1196">
        <f>+A18+1</f>
        <v>6</v>
      </c>
      <c r="B21" s="1190"/>
      <c r="C21" s="1189" t="s">
        <v>441</v>
      </c>
      <c r="D21" s="1200"/>
      <c r="E21" s="1198"/>
      <c r="F21" s="1198"/>
      <c r="G21" s="1198"/>
      <c r="H21" s="1198"/>
      <c r="I21" s="1198"/>
      <c r="J21" s="1198"/>
    </row>
    <row r="22" spans="1:10" ht="14.25">
      <c r="A22" s="1196"/>
      <c r="B22" s="1190"/>
      <c r="C22" s="1200"/>
      <c r="D22" s="1200"/>
      <c r="E22" s="1198"/>
      <c r="F22" s="1198"/>
      <c r="G22" s="1198"/>
      <c r="H22" s="1198"/>
      <c r="I22" s="1198"/>
      <c r="J22" s="1198"/>
    </row>
    <row r="23" spans="1:10" ht="14.25">
      <c r="A23" s="1196">
        <f>+A21+1</f>
        <v>7</v>
      </c>
      <c r="B23" s="1190"/>
      <c r="C23" s="1200" t="s">
        <v>451</v>
      </c>
      <c r="D23" s="1201" t="s">
        <v>331</v>
      </c>
      <c r="E23" s="1204">
        <v>-61488.990000000005</v>
      </c>
      <c r="F23" s="1198"/>
      <c r="G23" s="1204">
        <v>2</v>
      </c>
      <c r="H23" s="1193"/>
      <c r="I23" s="1203">
        <f>IF(G23="",0,(E23+G23)/2)</f>
        <v>-30743.495000000003</v>
      </c>
      <c r="J23" s="1198"/>
    </row>
    <row r="24" spans="1:10" ht="14.25">
      <c r="A24" s="1196">
        <f>+A23+1</f>
        <v>8</v>
      </c>
      <c r="B24" s="1190"/>
      <c r="C24" s="1200" t="s">
        <v>455</v>
      </c>
      <c r="D24" s="1196" t="s">
        <v>500</v>
      </c>
      <c r="E24" s="1202">
        <v>0</v>
      </c>
      <c r="F24" s="1198"/>
      <c r="G24" s="1202">
        <v>0</v>
      </c>
      <c r="H24" s="1193"/>
      <c r="I24" s="1203">
        <f>IF(G24="",0,(E24+G24)/2)</f>
        <v>0</v>
      </c>
      <c r="J24" s="1198"/>
    </row>
    <row r="25" spans="1:10" ht="16.5">
      <c r="A25" s="1196">
        <f>+A24+1</f>
        <v>9</v>
      </c>
      <c r="B25" s="1190"/>
      <c r="C25" s="1200" t="s">
        <v>456</v>
      </c>
      <c r="D25" s="1196" t="s">
        <v>500</v>
      </c>
      <c r="E25" s="1205">
        <v>-33006.02178995434</v>
      </c>
      <c r="F25" s="1198"/>
      <c r="G25" s="1205">
        <v>0</v>
      </c>
      <c r="H25" s="1198"/>
      <c r="I25" s="1206">
        <f>IF(G25="",0,(E25+G25)/2)</f>
        <v>-16503.01089497717</v>
      </c>
      <c r="J25" s="1198"/>
    </row>
    <row r="26" spans="1:10" ht="14.25">
      <c r="A26" s="1196">
        <f>+A25+1</f>
        <v>10</v>
      </c>
      <c r="B26" s="1190"/>
      <c r="C26" s="1200" t="s">
        <v>452</v>
      </c>
      <c r="D26" s="1207" t="str">
        <f>"Ln "&amp;A23&amp;" - ln "&amp;A24&amp;" - ln "&amp;A25&amp;""</f>
        <v>Ln 7 - ln 8 - ln 9</v>
      </c>
      <c r="E26" s="1208">
        <f>+E23-E24-E25</f>
        <v>-28482.968210045663</v>
      </c>
      <c r="F26" s="1198"/>
      <c r="G26" s="1208">
        <f>+G23-G24-G25</f>
        <v>2</v>
      </c>
      <c r="H26" s="1198"/>
      <c r="I26" s="1203">
        <f>+I23-I24-I25</f>
        <v>-14240.484105022831</v>
      </c>
      <c r="J26" s="1198"/>
    </row>
    <row r="27" spans="1:10" ht="14.25">
      <c r="A27" s="1196"/>
      <c r="B27" s="1190"/>
      <c r="C27" s="1200"/>
      <c r="D27" s="1200"/>
      <c r="E27" s="1198"/>
      <c r="F27" s="1198"/>
      <c r="G27" s="1198"/>
      <c r="H27" s="1198"/>
      <c r="I27" s="1198"/>
      <c r="J27" s="1198"/>
    </row>
    <row r="28" spans="1:10" ht="14.25">
      <c r="A28" s="1196"/>
      <c r="B28" s="1190"/>
      <c r="C28" s="1200"/>
      <c r="D28" s="1200"/>
      <c r="E28" s="1209"/>
      <c r="F28" s="1198"/>
      <c r="G28" s="1209"/>
      <c r="H28" s="1198"/>
      <c r="I28" s="1198"/>
      <c r="J28" s="1198"/>
    </row>
    <row r="29" spans="1:10" ht="15">
      <c r="A29" s="1196">
        <f>+A26+1</f>
        <v>11</v>
      </c>
      <c r="B29" s="1190"/>
      <c r="C29" s="1189" t="s">
        <v>442</v>
      </c>
      <c r="D29" s="1200"/>
      <c r="E29" s="1198"/>
      <c r="F29" s="1198"/>
      <c r="G29" s="1198"/>
      <c r="H29" s="1198"/>
      <c r="I29" s="1198"/>
      <c r="J29" s="1198"/>
    </row>
    <row r="30" spans="1:10" ht="15">
      <c r="A30" s="1196"/>
      <c r="B30" s="1190"/>
      <c r="C30" s="1189"/>
      <c r="D30" s="1200"/>
      <c r="E30" s="1198"/>
      <c r="F30" s="1198"/>
      <c r="G30" s="1198"/>
      <c r="H30" s="1198"/>
      <c r="I30" s="1198"/>
      <c r="J30" s="1198"/>
    </row>
    <row r="31" spans="1:10" ht="14.25">
      <c r="A31" s="1196">
        <f>+A29+1</f>
        <v>12</v>
      </c>
      <c r="B31" s="1190"/>
      <c r="C31" s="1200" t="s">
        <v>451</v>
      </c>
      <c r="D31" s="1201" t="s">
        <v>454</v>
      </c>
      <c r="E31" s="1213">
        <v>-898</v>
      </c>
      <c r="F31" s="1198"/>
      <c r="G31" s="1213">
        <v>-898</v>
      </c>
      <c r="H31" s="1193"/>
      <c r="I31" s="1203">
        <f>IF(G31="",0,(E31+G31)/2)</f>
        <v>-898</v>
      </c>
      <c r="J31" s="1198"/>
    </row>
    <row r="32" spans="1:10" ht="14.25">
      <c r="A32" s="1196">
        <f>+A31+1</f>
        <v>13</v>
      </c>
      <c r="B32" s="1190"/>
      <c r="C32" s="1200" t="s">
        <v>455</v>
      </c>
      <c r="D32" s="1196" t="s">
        <v>500</v>
      </c>
      <c r="E32" s="1202">
        <v>0</v>
      </c>
      <c r="F32" s="1198"/>
      <c r="G32" s="1202">
        <v>0</v>
      </c>
      <c r="H32" s="1193"/>
      <c r="I32" s="1203">
        <f>IF(G32="",0,(E32+G32)/2)</f>
        <v>0</v>
      </c>
      <c r="J32" s="1198"/>
    </row>
    <row r="33" spans="1:10" ht="16.5">
      <c r="A33" s="1196">
        <f>+A32+1</f>
        <v>14</v>
      </c>
      <c r="B33" s="1190"/>
      <c r="C33" s="1200" t="s">
        <v>456</v>
      </c>
      <c r="D33" s="1196" t="s">
        <v>500</v>
      </c>
      <c r="E33" s="1205">
        <v>0</v>
      </c>
      <c r="F33" s="1198"/>
      <c r="G33" s="1205">
        <v>0</v>
      </c>
      <c r="H33" s="1198"/>
      <c r="I33" s="1206">
        <f>IF(G33="",0,(E33+G33)/2)</f>
        <v>0</v>
      </c>
      <c r="J33" s="1198"/>
    </row>
    <row r="34" spans="1:10" ht="14.25">
      <c r="A34" s="1196">
        <f>+A33+1</f>
        <v>15</v>
      </c>
      <c r="B34" s="1190"/>
      <c r="C34" s="1200" t="s">
        <v>452</v>
      </c>
      <c r="D34" s="1207" t="str">
        <f>"Ln "&amp;A31&amp;" - ln "&amp;A32&amp;" - ln "&amp;A33&amp;""</f>
        <v>Ln 12 - ln 13 - ln 14</v>
      </c>
      <c r="E34" s="1208">
        <f>+E31-E32-E33</f>
        <v>-898</v>
      </c>
      <c r="F34" s="1198"/>
      <c r="G34" s="1208">
        <f>+G31-G32-G33</f>
        <v>-898</v>
      </c>
      <c r="H34" s="1198"/>
      <c r="I34" s="1203">
        <f>+I31-I32-I33</f>
        <v>-898</v>
      </c>
      <c r="J34" s="1198"/>
    </row>
    <row r="35" spans="1:10" ht="15">
      <c r="A35" s="1196"/>
      <c r="B35" s="1190"/>
      <c r="C35" s="1189"/>
      <c r="D35" s="1200"/>
      <c r="E35" s="1198"/>
      <c r="F35" s="1198"/>
      <c r="G35" s="1198"/>
      <c r="H35" s="1198"/>
      <c r="I35" s="1198"/>
      <c r="J35" s="1198"/>
    </row>
    <row r="36" spans="1:10" ht="14.25">
      <c r="A36" s="1196"/>
      <c r="B36" s="1190"/>
      <c r="C36" s="1200"/>
      <c r="D36" s="1200"/>
      <c r="E36" s="1198"/>
      <c r="F36" s="1198"/>
      <c r="G36" s="1198"/>
      <c r="H36" s="1198"/>
      <c r="I36" s="1198"/>
      <c r="J36" s="1198"/>
    </row>
    <row r="37" spans="1:10" ht="15">
      <c r="A37" s="1196">
        <f>+A34+1</f>
        <v>16</v>
      </c>
      <c r="B37" s="1190"/>
      <c r="C37" s="1189" t="s">
        <v>443</v>
      </c>
      <c r="D37" s="1200"/>
      <c r="E37" s="1198"/>
      <c r="F37" s="1198"/>
      <c r="G37" s="1198"/>
      <c r="H37" s="1198"/>
      <c r="I37" s="1198"/>
      <c r="J37" s="1198"/>
    </row>
    <row r="38" spans="1:10" ht="14.25">
      <c r="A38" s="1196"/>
      <c r="B38" s="1190"/>
      <c r="C38" s="1200"/>
      <c r="D38" s="1200"/>
      <c r="E38" s="1198"/>
      <c r="F38" s="1198"/>
      <c r="G38" s="1198"/>
      <c r="H38" s="1198"/>
      <c r="I38" s="1198"/>
      <c r="J38" s="1198"/>
    </row>
    <row r="39" spans="1:10" ht="14.25">
      <c r="A39" s="1196">
        <f>+A37+1</f>
        <v>17</v>
      </c>
      <c r="B39" s="1190"/>
      <c r="C39" s="1200" t="s">
        <v>451</v>
      </c>
      <c r="D39" s="1201" t="s">
        <v>445</v>
      </c>
      <c r="E39" s="1204">
        <v>2957</v>
      </c>
      <c r="F39" s="1198"/>
      <c r="G39" s="1204">
        <v>2957</v>
      </c>
      <c r="H39" s="1193"/>
      <c r="I39" s="1203">
        <f>IF(G39="",0,(E39+G39)/2)</f>
        <v>2957</v>
      </c>
      <c r="J39" s="1198"/>
    </row>
    <row r="40" spans="1:10" ht="14.25">
      <c r="A40" s="1196">
        <f>+A39+1</f>
        <v>18</v>
      </c>
      <c r="B40" s="1190"/>
      <c r="C40" s="1200" t="s">
        <v>455</v>
      </c>
      <c r="D40" s="1196" t="s">
        <v>500</v>
      </c>
      <c r="E40" s="1202">
        <v>0</v>
      </c>
      <c r="F40" s="1198"/>
      <c r="G40" s="1202">
        <v>0</v>
      </c>
      <c r="H40" s="1193"/>
      <c r="I40" s="1203">
        <f>IF(G40="",0,(E40+G40)/2)</f>
        <v>0</v>
      </c>
      <c r="J40" s="1198"/>
    </row>
    <row r="41" spans="1:10" ht="16.5">
      <c r="A41" s="1196">
        <f>+A40+1</f>
        <v>19</v>
      </c>
      <c r="B41" s="1190"/>
      <c r="C41" s="1200" t="s">
        <v>456</v>
      </c>
      <c r="D41" s="1196" t="s">
        <v>500</v>
      </c>
      <c r="E41" s="1205">
        <v>35</v>
      </c>
      <c r="F41" s="1198"/>
      <c r="G41" s="1205">
        <v>35</v>
      </c>
      <c r="H41" s="1198"/>
      <c r="I41" s="1206">
        <f>IF(G41="",0,(E41+G41)/2)</f>
        <v>35</v>
      </c>
      <c r="J41" s="1198"/>
    </row>
    <row r="42" spans="1:10" ht="14.25">
      <c r="A42" s="1196">
        <f>+A41+1</f>
        <v>20</v>
      </c>
      <c r="B42" s="1190"/>
      <c r="C42" s="1200" t="s">
        <v>452</v>
      </c>
      <c r="D42" s="1207" t="str">
        <f>"Ln "&amp;A39&amp;" - ln "&amp;A40&amp;" - ln "&amp;A41&amp;""</f>
        <v>Ln 17 - ln 18 - ln 19</v>
      </c>
      <c r="E42" s="1208">
        <f>+E39-E40-E41</f>
        <v>2922</v>
      </c>
      <c r="F42" s="1210"/>
      <c r="G42" s="1208">
        <f>+G39-G40-G41</f>
        <v>2922</v>
      </c>
      <c r="H42" s="1198"/>
      <c r="I42" s="1203">
        <f>+I39-I40-I41</f>
        <v>2922</v>
      </c>
      <c r="J42" s="1198"/>
    </row>
    <row r="43" spans="1:10" ht="14.25">
      <c r="A43" s="1196"/>
      <c r="B43" s="1190"/>
      <c r="C43" s="1200"/>
      <c r="D43" s="1200"/>
      <c r="E43" s="1198"/>
      <c r="F43" s="1198"/>
      <c r="G43" s="1198"/>
      <c r="H43" s="1198"/>
      <c r="I43" s="1198"/>
      <c r="J43" s="1198"/>
    </row>
    <row r="44" spans="1:10" ht="14.25">
      <c r="A44" s="1196"/>
      <c r="B44" s="1190"/>
      <c r="C44" s="1200"/>
      <c r="D44" s="1200"/>
      <c r="E44" s="1198"/>
      <c r="F44" s="1198"/>
      <c r="G44" s="1198"/>
      <c r="H44" s="1198"/>
      <c r="I44" s="1198"/>
      <c r="J44" s="1198"/>
    </row>
    <row r="45" spans="1:10" ht="15">
      <c r="A45" s="1196">
        <f>+A42+1</f>
        <v>21</v>
      </c>
      <c r="B45" s="1190"/>
      <c r="C45" s="1189" t="s">
        <v>444</v>
      </c>
      <c r="D45" s="1200"/>
      <c r="E45" s="1198"/>
      <c r="F45" s="1198"/>
      <c r="G45" s="1198"/>
      <c r="H45" s="1198"/>
      <c r="I45" s="1198"/>
      <c r="J45" s="1198"/>
    </row>
    <row r="46" spans="1:10" ht="14.25">
      <c r="A46" s="1196"/>
      <c r="B46" s="1190"/>
      <c r="C46" s="1200"/>
      <c r="D46" s="1200"/>
      <c r="E46" s="1198"/>
      <c r="F46" s="1198"/>
      <c r="G46" s="1198"/>
      <c r="H46" s="1198"/>
      <c r="I46" s="1198"/>
      <c r="J46" s="1198"/>
    </row>
    <row r="47" spans="1:10" ht="14.25">
      <c r="A47" s="1196">
        <f>+A45+1</f>
        <v>22</v>
      </c>
      <c r="B47" s="1190"/>
      <c r="C47" s="1200" t="s">
        <v>457</v>
      </c>
      <c r="D47" s="1201" t="s">
        <v>369</v>
      </c>
      <c r="E47" s="1202">
        <v>0</v>
      </c>
      <c r="F47" s="1198"/>
      <c r="G47" s="1202">
        <v>0</v>
      </c>
      <c r="H47" s="1193"/>
      <c r="I47" s="1203">
        <f>IF(G47="",0,(E47+G47)/2)</f>
        <v>0</v>
      </c>
      <c r="J47" s="1198"/>
    </row>
    <row r="48" spans="1:10" ht="16.5">
      <c r="A48" s="1196">
        <f>+A47+1</f>
        <v>23</v>
      </c>
      <c r="B48" s="1190"/>
      <c r="C48" s="1200" t="s">
        <v>458</v>
      </c>
      <c r="D48" s="1196" t="s">
        <v>500</v>
      </c>
      <c r="E48" s="1205">
        <v>0</v>
      </c>
      <c r="F48" s="1198"/>
      <c r="G48" s="1205">
        <v>0</v>
      </c>
      <c r="H48" s="1193"/>
      <c r="I48" s="1206">
        <f>IF(G48="",0,(E48+G48)/2)</f>
        <v>0</v>
      </c>
      <c r="J48" s="1198"/>
    </row>
    <row r="49" spans="1:10" ht="14.25">
      <c r="A49" s="1196">
        <f>+A48+1</f>
        <v>24</v>
      </c>
      <c r="B49" s="1190"/>
      <c r="C49" s="1200" t="s">
        <v>354</v>
      </c>
      <c r="D49" s="1207" t="str">
        <f>"Ln "&amp;A47&amp;" - ln "&amp;A48&amp;""</f>
        <v>Ln 22 - ln 23</v>
      </c>
      <c r="E49" s="1208">
        <f>+E47-E48</f>
        <v>0</v>
      </c>
      <c r="F49" s="1198"/>
      <c r="G49" s="1208">
        <f>+G47-G48</f>
        <v>0</v>
      </c>
      <c r="H49" s="1193"/>
      <c r="I49" s="1203">
        <f>+I47-I48</f>
        <v>0</v>
      </c>
      <c r="J49" s="1198"/>
    </row>
    <row r="50" spans="1:10" ht="14.25">
      <c r="A50" s="1196">
        <f>+A49+1</f>
        <v>25</v>
      </c>
      <c r="B50" s="1190"/>
      <c r="C50" s="1200" t="s">
        <v>452</v>
      </c>
      <c r="D50" s="1207" t="str">
        <f>+D48</f>
        <v>Company Records - Note 1</v>
      </c>
      <c r="E50" s="1202">
        <v>0</v>
      </c>
      <c r="F50" s="1198"/>
      <c r="G50" s="1202">
        <v>0</v>
      </c>
      <c r="H50" s="1193"/>
      <c r="I50" s="1203">
        <f>IF(G50="",0,(E50+G50)/2)</f>
        <v>0</v>
      </c>
      <c r="J50" s="1198"/>
    </row>
    <row r="51" spans="1:10" ht="14.25">
      <c r="A51" s="1196"/>
      <c r="B51" s="1190"/>
      <c r="C51" s="1200"/>
      <c r="D51" s="1200"/>
      <c r="E51" s="1198"/>
      <c r="F51" s="1198"/>
      <c r="G51" s="1198"/>
      <c r="H51" s="1198"/>
      <c r="I51" s="1198"/>
      <c r="J51" s="1198"/>
    </row>
    <row r="52" spans="1:10" ht="14.25">
      <c r="A52" s="1211" t="s">
        <v>499</v>
      </c>
      <c r="B52" s="1212" t="s">
        <v>637</v>
      </c>
      <c r="C52" s="1212" t="s">
        <v>960</v>
      </c>
      <c r="D52" s="1200"/>
      <c r="E52" s="1198"/>
      <c r="F52" s="1198"/>
      <c r="G52" s="1198"/>
      <c r="H52" s="1198"/>
      <c r="I52" s="1198"/>
      <c r="J52" s="1198"/>
    </row>
    <row r="53" spans="1:10" ht="14.25">
      <c r="A53" s="1196"/>
      <c r="B53" s="1190"/>
      <c r="C53" s="1200" t="s">
        <v>961</v>
      </c>
      <c r="D53" s="1200"/>
      <c r="E53" s="1198"/>
      <c r="F53" s="1198"/>
      <c r="G53" s="1198"/>
      <c r="H53" s="1198"/>
      <c r="I53" s="1198"/>
      <c r="J53" s="1198"/>
    </row>
    <row r="54" spans="1:4" ht="14.25">
      <c r="A54" s="1196" t="s">
        <v>362</v>
      </c>
      <c r="C54" s="1190" t="s">
        <v>363</v>
      </c>
      <c r="D54" s="95"/>
    </row>
    <row r="55" spans="2:10" ht="12.75">
      <c r="B55" s="36"/>
      <c r="C55" s="36"/>
      <c r="D55" s="36"/>
      <c r="E55" s="36"/>
      <c r="F55" s="36"/>
      <c r="G55" s="36"/>
      <c r="H55" s="36"/>
      <c r="I55" s="36"/>
      <c r="J55" s="36"/>
    </row>
    <row r="56" spans="2:10" ht="12.75">
      <c r="B56" s="36"/>
      <c r="C56" s="36"/>
      <c r="D56" s="36"/>
      <c r="E56" s="36"/>
      <c r="F56" s="36"/>
      <c r="G56" s="36"/>
      <c r="H56" s="36"/>
      <c r="I56" s="36"/>
      <c r="J56" s="36"/>
    </row>
    <row r="57" spans="2:10" ht="12.75">
      <c r="B57" s="36"/>
      <c r="C57" s="36"/>
      <c r="D57" s="36"/>
      <c r="E57" s="36"/>
      <c r="F57" s="36"/>
      <c r="G57" s="36"/>
      <c r="H57" s="36"/>
      <c r="I57" s="36"/>
      <c r="J57" s="36"/>
    </row>
    <row r="58" spans="2:10" ht="12.75">
      <c r="B58" s="36"/>
      <c r="C58" s="36"/>
      <c r="D58" s="36"/>
      <c r="E58" s="36"/>
      <c r="F58" s="36"/>
      <c r="G58" s="36"/>
      <c r="H58" s="36"/>
      <c r="I58" s="36"/>
      <c r="J58" s="36"/>
    </row>
    <row r="59" spans="2:10" ht="12.75">
      <c r="B59" s="36"/>
      <c r="C59" s="36"/>
      <c r="D59" s="36"/>
      <c r="E59" s="36"/>
      <c r="F59" s="36"/>
      <c r="G59" s="36"/>
      <c r="H59" s="36"/>
      <c r="I59" s="36"/>
      <c r="J59" s="36"/>
    </row>
    <row r="60" spans="2:10" ht="12.75">
      <c r="B60" s="36"/>
      <c r="C60" s="36"/>
      <c r="D60" s="36"/>
      <c r="E60" s="36"/>
      <c r="F60" s="36"/>
      <c r="G60" s="36"/>
      <c r="H60" s="36"/>
      <c r="I60" s="36"/>
      <c r="J60" s="36"/>
    </row>
    <row r="61" spans="2:10" ht="12.75">
      <c r="B61" s="36"/>
      <c r="C61" s="36"/>
      <c r="D61" s="36"/>
      <c r="E61" s="36"/>
      <c r="F61" s="36"/>
      <c r="G61" s="36"/>
      <c r="H61" s="36"/>
      <c r="I61" s="36"/>
      <c r="J61" s="36"/>
    </row>
    <row r="62" spans="2:10" ht="12.75">
      <c r="B62" s="36"/>
      <c r="C62" s="36"/>
      <c r="D62" s="36"/>
      <c r="E62" s="36"/>
      <c r="F62" s="36"/>
      <c r="G62" s="36"/>
      <c r="H62" s="36"/>
      <c r="I62" s="36"/>
      <c r="J62" s="36"/>
    </row>
    <row r="63" spans="2:10" ht="12.75">
      <c r="B63" s="36"/>
      <c r="C63" s="36"/>
      <c r="D63" s="36"/>
      <c r="E63" s="36"/>
      <c r="F63" s="36"/>
      <c r="G63" s="36"/>
      <c r="H63" s="36"/>
      <c r="I63" s="36"/>
      <c r="J63" s="36"/>
    </row>
    <row r="64" spans="2:10" ht="12.75">
      <c r="B64" s="36"/>
      <c r="C64" s="36"/>
      <c r="D64" s="36"/>
      <c r="E64" s="36"/>
      <c r="F64" s="36"/>
      <c r="G64" s="36"/>
      <c r="H64" s="36"/>
      <c r="I64" s="36"/>
      <c r="J64" s="36"/>
    </row>
    <row r="65" spans="2:10" ht="12.75">
      <c r="B65" s="36"/>
      <c r="C65" s="36"/>
      <c r="D65" s="36"/>
      <c r="E65" s="36"/>
      <c r="F65" s="36"/>
      <c r="G65" s="36"/>
      <c r="H65" s="36"/>
      <c r="I65" s="36"/>
      <c r="J65" s="36"/>
    </row>
    <row r="66" spans="2:10" ht="12.75">
      <c r="B66" s="36"/>
      <c r="C66" s="36"/>
      <c r="D66" s="36"/>
      <c r="E66" s="36"/>
      <c r="F66" s="36"/>
      <c r="G66" s="36"/>
      <c r="H66" s="36"/>
      <c r="I66" s="36"/>
      <c r="J66" s="36"/>
    </row>
    <row r="67" spans="2:10" ht="12.75">
      <c r="B67" s="36"/>
      <c r="C67" s="36"/>
      <c r="D67" s="36"/>
      <c r="E67" s="36"/>
      <c r="F67" s="36"/>
      <c r="G67" s="36"/>
      <c r="H67" s="36"/>
      <c r="I67" s="36"/>
      <c r="J67" s="36"/>
    </row>
    <row r="68" spans="2:10" ht="12.75">
      <c r="B68" s="36"/>
      <c r="C68" s="36"/>
      <c r="D68" s="36"/>
      <c r="E68" s="36"/>
      <c r="F68" s="36"/>
      <c r="G68" s="36"/>
      <c r="H68" s="36"/>
      <c r="I68" s="36"/>
      <c r="J68" s="36"/>
    </row>
    <row r="69" spans="2:10" ht="12.75">
      <c r="B69" s="36"/>
      <c r="C69" s="36"/>
      <c r="D69" s="36"/>
      <c r="E69" s="36"/>
      <c r="F69" s="36"/>
      <c r="G69" s="36"/>
      <c r="H69" s="36"/>
      <c r="I69" s="36"/>
      <c r="J69" s="36"/>
    </row>
    <row r="70" spans="2:10" ht="12.75">
      <c r="B70" s="36"/>
      <c r="C70" s="36"/>
      <c r="D70" s="36"/>
      <c r="E70" s="36"/>
      <c r="F70" s="36"/>
      <c r="G70" s="36"/>
      <c r="H70" s="36"/>
      <c r="I70" s="36"/>
      <c r="J70" s="36"/>
    </row>
    <row r="71" spans="2:10" ht="12.75">
      <c r="B71" s="36"/>
      <c r="C71" s="36"/>
      <c r="D71" s="36"/>
      <c r="E71" s="36"/>
      <c r="F71" s="36"/>
      <c r="G71" s="36"/>
      <c r="H71" s="36"/>
      <c r="I71" s="36"/>
      <c r="J71" s="36"/>
    </row>
    <row r="72" spans="2:10" ht="12.75">
      <c r="B72" s="36"/>
      <c r="C72" s="36"/>
      <c r="D72" s="36"/>
      <c r="E72" s="36"/>
      <c r="F72" s="36"/>
      <c r="G72" s="36"/>
      <c r="H72" s="36"/>
      <c r="I72" s="36"/>
      <c r="J72" s="36"/>
    </row>
    <row r="73" spans="2:10" ht="12.75">
      <c r="B73" s="36"/>
      <c r="C73" s="36"/>
      <c r="D73" s="36"/>
      <c r="E73" s="36"/>
      <c r="F73" s="36"/>
      <c r="G73" s="36"/>
      <c r="H73" s="36"/>
      <c r="I73" s="36"/>
      <c r="J73" s="36"/>
    </row>
    <row r="74" spans="2:10" ht="12.75">
      <c r="B74" s="36"/>
      <c r="C74" s="36"/>
      <c r="D74" s="36"/>
      <c r="E74" s="36"/>
      <c r="F74" s="36"/>
      <c r="G74" s="36"/>
      <c r="H74" s="36"/>
      <c r="I74" s="36"/>
      <c r="J74" s="36"/>
    </row>
    <row r="75" spans="2:10" ht="12.75">
      <c r="B75" s="36"/>
      <c r="C75" s="36"/>
      <c r="D75" s="36"/>
      <c r="E75" s="36"/>
      <c r="F75" s="36"/>
      <c r="G75" s="36"/>
      <c r="H75" s="36"/>
      <c r="I75" s="36"/>
      <c r="J75" s="36"/>
    </row>
    <row r="76" spans="2:10" ht="12.75">
      <c r="B76" s="36"/>
      <c r="C76" s="36"/>
      <c r="D76" s="36"/>
      <c r="E76" s="36"/>
      <c r="F76" s="36"/>
      <c r="G76" s="36"/>
      <c r="H76" s="36"/>
      <c r="I76" s="36"/>
      <c r="J76" s="36"/>
    </row>
    <row r="77" spans="2:10" ht="12.75">
      <c r="B77" s="36"/>
      <c r="C77" s="36"/>
      <c r="D77" s="36"/>
      <c r="E77" s="36"/>
      <c r="F77" s="36"/>
      <c r="G77" s="36"/>
      <c r="H77" s="36"/>
      <c r="I77" s="36"/>
      <c r="J77" s="36"/>
    </row>
    <row r="78" spans="2:10" ht="12.75">
      <c r="B78" s="36"/>
      <c r="C78" s="36"/>
      <c r="D78" s="36"/>
      <c r="E78" s="36"/>
      <c r="F78" s="36"/>
      <c r="G78" s="36"/>
      <c r="H78" s="36"/>
      <c r="I78" s="36"/>
      <c r="J78" s="36"/>
    </row>
    <row r="79" spans="2:10" ht="12.75">
      <c r="B79" s="36"/>
      <c r="C79" s="36"/>
      <c r="D79" s="36"/>
      <c r="E79" s="36"/>
      <c r="F79" s="36"/>
      <c r="G79" s="36"/>
      <c r="H79" s="36"/>
      <c r="I79" s="36"/>
      <c r="J79" s="36"/>
    </row>
    <row r="80" spans="2:10" ht="12.75">
      <c r="B80" s="36"/>
      <c r="C80" s="36"/>
      <c r="D80" s="36"/>
      <c r="E80" s="36"/>
      <c r="F80" s="36"/>
      <c r="G80" s="36"/>
      <c r="H80" s="36"/>
      <c r="I80" s="36"/>
      <c r="J80" s="36"/>
    </row>
    <row r="81" spans="2:10" ht="12.75">
      <c r="B81" s="36"/>
      <c r="C81" s="36"/>
      <c r="D81" s="36"/>
      <c r="E81" s="36"/>
      <c r="F81" s="36"/>
      <c r="G81" s="36"/>
      <c r="H81" s="36"/>
      <c r="I81" s="36"/>
      <c r="J81" s="36"/>
    </row>
    <row r="82" spans="2:10" ht="12.75">
      <c r="B82" s="36"/>
      <c r="C82" s="36"/>
      <c r="D82" s="36"/>
      <c r="E82" s="36"/>
      <c r="F82" s="36"/>
      <c r="G82" s="36"/>
      <c r="H82" s="36"/>
      <c r="I82" s="36"/>
      <c r="J82" s="36"/>
    </row>
    <row r="83" spans="2:10" ht="12.75">
      <c r="B83" s="36"/>
      <c r="C83" s="36"/>
      <c r="D83" s="36"/>
      <c r="E83" s="36"/>
      <c r="F83" s="36"/>
      <c r="G83" s="36"/>
      <c r="H83" s="36"/>
      <c r="I83" s="36"/>
      <c r="J83" s="36"/>
    </row>
    <row r="84" spans="2:10" ht="12.75">
      <c r="B84" s="36"/>
      <c r="C84" s="36"/>
      <c r="D84" s="36"/>
      <c r="E84" s="36"/>
      <c r="F84" s="36"/>
      <c r="G84" s="36"/>
      <c r="H84" s="36"/>
      <c r="I84" s="36"/>
      <c r="J84" s="36"/>
    </row>
    <row r="85" spans="2:10" ht="12.75">
      <c r="B85" s="36"/>
      <c r="C85" s="36"/>
      <c r="D85" s="36"/>
      <c r="E85" s="36"/>
      <c r="F85" s="36"/>
      <c r="G85" s="36"/>
      <c r="H85" s="36"/>
      <c r="I85" s="36"/>
      <c r="J85" s="36"/>
    </row>
    <row r="86" spans="2:10" ht="12.75">
      <c r="B86" s="36"/>
      <c r="C86" s="36"/>
      <c r="D86" s="36"/>
      <c r="E86" s="36"/>
      <c r="F86" s="36"/>
      <c r="G86" s="36"/>
      <c r="H86" s="36"/>
      <c r="I86" s="36"/>
      <c r="J86" s="36"/>
    </row>
    <row r="87" spans="2:10" ht="12.75">
      <c r="B87" s="36"/>
      <c r="C87" s="36"/>
      <c r="D87" s="36"/>
      <c r="E87" s="36"/>
      <c r="F87" s="36"/>
      <c r="G87" s="36"/>
      <c r="H87" s="36"/>
      <c r="I87" s="36"/>
      <c r="J87" s="36"/>
    </row>
    <row r="88" spans="2:10" ht="12.75">
      <c r="B88" s="36"/>
      <c r="C88" s="36"/>
      <c r="D88" s="36"/>
      <c r="E88" s="36"/>
      <c r="F88" s="36"/>
      <c r="G88" s="36"/>
      <c r="H88" s="36"/>
      <c r="I88" s="36"/>
      <c r="J88" s="36"/>
    </row>
    <row r="89" spans="2:10" ht="12.75">
      <c r="B89" s="36"/>
      <c r="C89" s="36"/>
      <c r="D89" s="36"/>
      <c r="E89" s="36"/>
      <c r="F89" s="36"/>
      <c r="G89" s="36"/>
      <c r="H89" s="36"/>
      <c r="I89" s="36"/>
      <c r="J89" s="36"/>
    </row>
    <row r="90" spans="2:10" ht="12.75">
      <c r="B90" s="36"/>
      <c r="C90" s="36"/>
      <c r="D90" s="36"/>
      <c r="E90" s="36"/>
      <c r="F90" s="36"/>
      <c r="G90" s="36"/>
      <c r="H90" s="36"/>
      <c r="I90" s="36"/>
      <c r="J90" s="36"/>
    </row>
    <row r="91" spans="2:10" ht="12.75">
      <c r="B91" s="36"/>
      <c r="C91" s="36"/>
      <c r="D91" s="36"/>
      <c r="E91" s="36"/>
      <c r="F91" s="36"/>
      <c r="G91" s="36"/>
      <c r="H91" s="36"/>
      <c r="I91" s="36"/>
      <c r="J91" s="36"/>
    </row>
    <row r="92" spans="2:10" ht="12.75">
      <c r="B92" s="36"/>
      <c r="C92" s="36"/>
      <c r="D92" s="36"/>
      <c r="E92" s="36"/>
      <c r="F92" s="36"/>
      <c r="G92" s="36"/>
      <c r="H92" s="36"/>
      <c r="I92" s="36"/>
      <c r="J92" s="36"/>
    </row>
    <row r="93" spans="2:10" ht="12.75">
      <c r="B93" s="36"/>
      <c r="C93" s="36"/>
      <c r="D93" s="36"/>
      <c r="E93" s="36"/>
      <c r="F93" s="36"/>
      <c r="G93" s="36"/>
      <c r="H93" s="36"/>
      <c r="I93" s="36"/>
      <c r="J93" s="36"/>
    </row>
    <row r="94" spans="2:10" ht="12.75">
      <c r="B94" s="36"/>
      <c r="C94" s="36"/>
      <c r="D94" s="36"/>
      <c r="E94" s="36"/>
      <c r="F94" s="36"/>
      <c r="G94" s="36"/>
      <c r="H94" s="36"/>
      <c r="I94" s="36"/>
      <c r="J94" s="36"/>
    </row>
    <row r="95" spans="2:10" ht="12.75">
      <c r="B95" s="36"/>
      <c r="C95" s="36"/>
      <c r="D95" s="36"/>
      <c r="E95" s="36"/>
      <c r="F95" s="36"/>
      <c r="G95" s="36"/>
      <c r="H95" s="36"/>
      <c r="I95" s="36"/>
      <c r="J95" s="36"/>
    </row>
    <row r="96" spans="2:10" ht="12.75">
      <c r="B96" s="36"/>
      <c r="C96" s="36"/>
      <c r="D96" s="36"/>
      <c r="E96" s="36"/>
      <c r="F96" s="36"/>
      <c r="G96" s="36"/>
      <c r="H96" s="36"/>
      <c r="I96" s="36"/>
      <c r="J96" s="36"/>
    </row>
    <row r="97" spans="2:10" ht="12.75">
      <c r="B97" s="36"/>
      <c r="C97" s="36"/>
      <c r="D97" s="36"/>
      <c r="E97" s="36"/>
      <c r="F97" s="36"/>
      <c r="G97" s="36"/>
      <c r="H97" s="36"/>
      <c r="I97" s="36"/>
      <c r="J97" s="36"/>
    </row>
    <row r="98" spans="2:10" ht="12.75">
      <c r="B98" s="36"/>
      <c r="C98" s="36"/>
      <c r="D98" s="36"/>
      <c r="E98" s="36"/>
      <c r="F98" s="36"/>
      <c r="G98" s="36"/>
      <c r="H98" s="36"/>
      <c r="I98" s="36"/>
      <c r="J98" s="36"/>
    </row>
    <row r="99" spans="2:10" ht="12.75">
      <c r="B99" s="36"/>
      <c r="C99" s="36"/>
      <c r="D99" s="36"/>
      <c r="E99" s="36"/>
      <c r="F99" s="36"/>
      <c r="G99" s="36"/>
      <c r="H99" s="36"/>
      <c r="I99" s="36"/>
      <c r="J99" s="36"/>
    </row>
    <row r="100" spans="2:10" ht="12.75">
      <c r="B100" s="36"/>
      <c r="C100" s="36"/>
      <c r="D100" s="36"/>
      <c r="E100" s="36"/>
      <c r="F100" s="36"/>
      <c r="G100" s="36"/>
      <c r="H100" s="36"/>
      <c r="I100" s="36"/>
      <c r="J100" s="36"/>
    </row>
    <row r="101" spans="2:10" ht="12.75">
      <c r="B101" s="36"/>
      <c r="C101" s="36"/>
      <c r="D101" s="36"/>
      <c r="E101" s="36"/>
      <c r="F101" s="36"/>
      <c r="G101" s="36"/>
      <c r="H101" s="36"/>
      <c r="I101" s="36"/>
      <c r="J101" s="36"/>
    </row>
    <row r="102" spans="2:10" ht="12.75">
      <c r="B102" s="36"/>
      <c r="C102" s="36"/>
      <c r="D102" s="36"/>
      <c r="E102" s="36"/>
      <c r="F102" s="36"/>
      <c r="G102" s="36"/>
      <c r="H102" s="36"/>
      <c r="I102" s="36"/>
      <c r="J102" s="36"/>
    </row>
    <row r="103" spans="2:10" ht="12.75">
      <c r="B103" s="36"/>
      <c r="C103" s="36"/>
      <c r="D103" s="36"/>
      <c r="E103" s="36"/>
      <c r="F103" s="36"/>
      <c r="G103" s="36"/>
      <c r="H103" s="36"/>
      <c r="I103" s="36"/>
      <c r="J103" s="36"/>
    </row>
    <row r="104" spans="2:10" ht="12.75">
      <c r="B104" s="36"/>
      <c r="C104" s="36"/>
      <c r="D104" s="36"/>
      <c r="E104" s="36"/>
      <c r="F104" s="36"/>
      <c r="G104" s="36"/>
      <c r="H104" s="36"/>
      <c r="I104" s="36"/>
      <c r="J104" s="36"/>
    </row>
    <row r="105" spans="2:10" ht="12.75">
      <c r="B105" s="36"/>
      <c r="C105" s="36"/>
      <c r="D105" s="36"/>
      <c r="E105" s="36"/>
      <c r="F105" s="36"/>
      <c r="G105" s="36"/>
      <c r="H105" s="36"/>
      <c r="I105" s="36"/>
      <c r="J105" s="36"/>
    </row>
    <row r="106" spans="2:10" ht="12.75">
      <c r="B106" s="36"/>
      <c r="C106" s="36"/>
      <c r="D106" s="36"/>
      <c r="E106" s="36"/>
      <c r="F106" s="36"/>
      <c r="G106" s="36"/>
      <c r="H106" s="36"/>
      <c r="I106" s="36"/>
      <c r="J106" s="36"/>
    </row>
    <row r="107" spans="2:10" ht="12.75">
      <c r="B107" s="36"/>
      <c r="C107" s="36"/>
      <c r="D107" s="36"/>
      <c r="E107" s="36"/>
      <c r="F107" s="36"/>
      <c r="G107" s="36"/>
      <c r="H107" s="36"/>
      <c r="I107" s="36"/>
      <c r="J107" s="36"/>
    </row>
    <row r="108" spans="2:10" ht="12.75">
      <c r="B108" s="36"/>
      <c r="C108" s="36"/>
      <c r="D108" s="36"/>
      <c r="E108" s="36"/>
      <c r="F108" s="36"/>
      <c r="G108" s="36"/>
      <c r="H108" s="36"/>
      <c r="I108" s="36"/>
      <c r="J108" s="36"/>
    </row>
    <row r="109" spans="2:10" ht="12.75">
      <c r="B109" s="36"/>
      <c r="C109" s="36"/>
      <c r="D109" s="36"/>
      <c r="E109" s="36"/>
      <c r="F109" s="36"/>
      <c r="G109" s="36"/>
      <c r="H109" s="36"/>
      <c r="I109" s="36"/>
      <c r="J109" s="36"/>
    </row>
    <row r="110" spans="2:10" ht="12.75">
      <c r="B110" s="36"/>
      <c r="C110" s="36"/>
      <c r="D110" s="36"/>
      <c r="E110" s="36"/>
      <c r="F110" s="36"/>
      <c r="G110" s="36"/>
      <c r="H110" s="36"/>
      <c r="I110" s="36"/>
      <c r="J110" s="36"/>
    </row>
    <row r="111" spans="2:10" ht="12.75">
      <c r="B111" s="36"/>
      <c r="C111" s="36"/>
      <c r="D111" s="36"/>
      <c r="E111" s="36"/>
      <c r="F111" s="36"/>
      <c r="G111" s="36"/>
      <c r="H111" s="36"/>
      <c r="I111" s="36"/>
      <c r="J111" s="36"/>
    </row>
    <row r="112" spans="2:10" ht="12.75">
      <c r="B112" s="36"/>
      <c r="C112" s="36"/>
      <c r="D112" s="36"/>
      <c r="E112" s="36"/>
      <c r="F112" s="36"/>
      <c r="G112" s="36"/>
      <c r="H112" s="36"/>
      <c r="I112" s="36"/>
      <c r="J112" s="36"/>
    </row>
    <row r="113" spans="2:10" ht="12.75">
      <c r="B113" s="36"/>
      <c r="C113" s="36"/>
      <c r="D113" s="36"/>
      <c r="E113" s="36"/>
      <c r="F113" s="36"/>
      <c r="G113" s="36"/>
      <c r="H113" s="36"/>
      <c r="I113" s="36"/>
      <c r="J113" s="36"/>
    </row>
    <row r="114" spans="2:10" ht="12.75">
      <c r="B114" s="36"/>
      <c r="C114" s="36"/>
      <c r="D114" s="36"/>
      <c r="E114" s="36"/>
      <c r="F114" s="36"/>
      <c r="G114" s="36"/>
      <c r="H114" s="36"/>
      <c r="I114" s="36"/>
      <c r="J114" s="36"/>
    </row>
    <row r="115" spans="2:10" ht="12.75">
      <c r="B115" s="36"/>
      <c r="C115" s="36"/>
      <c r="D115" s="36"/>
      <c r="E115" s="36"/>
      <c r="F115" s="36"/>
      <c r="G115" s="36"/>
      <c r="H115" s="36"/>
      <c r="I115" s="36"/>
      <c r="J115" s="36"/>
    </row>
    <row r="116" spans="2:10" ht="12.75">
      <c r="B116" s="36"/>
      <c r="C116" s="36"/>
      <c r="D116" s="36"/>
      <c r="E116" s="36"/>
      <c r="F116" s="36"/>
      <c r="G116" s="36"/>
      <c r="H116" s="36"/>
      <c r="I116" s="36"/>
      <c r="J116" s="36"/>
    </row>
    <row r="117" spans="2:10" ht="12.75">
      <c r="B117" s="36"/>
      <c r="C117" s="36"/>
      <c r="D117" s="36"/>
      <c r="E117" s="36"/>
      <c r="F117" s="36"/>
      <c r="G117" s="36"/>
      <c r="H117" s="36"/>
      <c r="I117" s="36"/>
      <c r="J117" s="36"/>
    </row>
    <row r="118" spans="2:10" ht="12.75">
      <c r="B118" s="36"/>
      <c r="C118" s="36"/>
      <c r="D118" s="36"/>
      <c r="E118" s="36"/>
      <c r="F118" s="36"/>
      <c r="G118" s="36"/>
      <c r="H118" s="36"/>
      <c r="I118" s="36"/>
      <c r="J118" s="36"/>
    </row>
    <row r="119" spans="2:10" ht="12.75">
      <c r="B119" s="36"/>
      <c r="C119" s="36"/>
      <c r="D119" s="36"/>
      <c r="E119" s="36"/>
      <c r="F119" s="36"/>
      <c r="G119" s="36"/>
      <c r="H119" s="36"/>
      <c r="I119" s="36"/>
      <c r="J119" s="36"/>
    </row>
    <row r="120" spans="2:10" ht="12.75">
      <c r="B120" s="36"/>
      <c r="C120" s="36"/>
      <c r="D120" s="36"/>
      <c r="E120" s="36"/>
      <c r="F120" s="36"/>
      <c r="G120" s="36"/>
      <c r="H120" s="36"/>
      <c r="I120" s="36"/>
      <c r="J120" s="36"/>
    </row>
    <row r="121" spans="2:10" ht="12.75">
      <c r="B121" s="36"/>
      <c r="C121" s="36"/>
      <c r="D121" s="36"/>
      <c r="E121" s="36"/>
      <c r="F121" s="36"/>
      <c r="G121" s="36"/>
      <c r="H121" s="36"/>
      <c r="I121" s="36"/>
      <c r="J121" s="36"/>
    </row>
    <row r="122" spans="2:10" ht="12.75">
      <c r="B122" s="36"/>
      <c r="C122" s="36"/>
      <c r="D122" s="36"/>
      <c r="E122" s="36"/>
      <c r="F122" s="36"/>
      <c r="G122" s="36"/>
      <c r="H122" s="36"/>
      <c r="I122" s="36"/>
      <c r="J122" s="36"/>
    </row>
    <row r="123" spans="2:10" ht="12.75">
      <c r="B123" s="36"/>
      <c r="C123" s="36"/>
      <c r="D123" s="36"/>
      <c r="E123" s="36"/>
      <c r="F123" s="36"/>
      <c r="G123" s="36"/>
      <c r="H123" s="36"/>
      <c r="I123" s="36"/>
      <c r="J123" s="36"/>
    </row>
    <row r="124" spans="2:10" ht="12.75">
      <c r="B124" s="36"/>
      <c r="C124" s="36"/>
      <c r="D124" s="36"/>
      <c r="E124" s="36"/>
      <c r="F124" s="36"/>
      <c r="G124" s="36"/>
      <c r="H124" s="36"/>
      <c r="I124" s="36"/>
      <c r="J124" s="36"/>
    </row>
    <row r="125" spans="2:10" ht="12.75">
      <c r="B125" s="36"/>
      <c r="C125" s="36"/>
      <c r="D125" s="36"/>
      <c r="E125" s="36"/>
      <c r="F125" s="36"/>
      <c r="G125" s="36"/>
      <c r="H125" s="36"/>
      <c r="I125" s="36"/>
      <c r="J125" s="36"/>
    </row>
    <row r="126" spans="2:10" ht="12.75">
      <c r="B126" s="36"/>
      <c r="C126" s="36"/>
      <c r="D126" s="36"/>
      <c r="E126" s="36"/>
      <c r="F126" s="36"/>
      <c r="G126" s="36"/>
      <c r="H126" s="36"/>
      <c r="I126" s="36"/>
      <c r="J126" s="36"/>
    </row>
    <row r="127" spans="2:10" ht="12.75">
      <c r="B127" s="36"/>
      <c r="C127" s="36"/>
      <c r="D127" s="36"/>
      <c r="E127" s="36"/>
      <c r="F127" s="36"/>
      <c r="G127" s="36"/>
      <c r="H127" s="36"/>
      <c r="I127" s="36"/>
      <c r="J127" s="36"/>
    </row>
    <row r="128" spans="2:10" ht="12.75">
      <c r="B128" s="36"/>
      <c r="C128" s="36"/>
      <c r="D128" s="36"/>
      <c r="E128" s="36"/>
      <c r="F128" s="36"/>
      <c r="G128" s="36"/>
      <c r="H128" s="36"/>
      <c r="I128" s="36"/>
      <c r="J128" s="36"/>
    </row>
    <row r="129" spans="2:10" ht="12.75">
      <c r="B129" s="36"/>
      <c r="C129" s="36"/>
      <c r="D129" s="36"/>
      <c r="E129" s="36"/>
      <c r="F129" s="36"/>
      <c r="G129" s="36"/>
      <c r="H129" s="36"/>
      <c r="I129" s="36"/>
      <c r="J129" s="36"/>
    </row>
    <row r="130" spans="2:10" ht="12.75">
      <c r="B130" s="36"/>
      <c r="C130" s="36"/>
      <c r="D130" s="36"/>
      <c r="E130" s="36"/>
      <c r="F130" s="36"/>
      <c r="G130" s="36"/>
      <c r="H130" s="36"/>
      <c r="I130" s="36"/>
      <c r="J130" s="36"/>
    </row>
    <row r="131" spans="2:10" ht="12.75">
      <c r="B131" s="36"/>
      <c r="C131" s="36"/>
      <c r="D131" s="36"/>
      <c r="E131" s="36"/>
      <c r="F131" s="36"/>
      <c r="G131" s="36"/>
      <c r="H131" s="36"/>
      <c r="I131" s="36"/>
      <c r="J131" s="36"/>
    </row>
    <row r="132" spans="2:10" ht="12.75">
      <c r="B132" s="36"/>
      <c r="C132" s="36"/>
      <c r="D132" s="36"/>
      <c r="E132" s="36"/>
      <c r="F132" s="36"/>
      <c r="G132" s="36"/>
      <c r="H132" s="36"/>
      <c r="I132" s="36"/>
      <c r="J132" s="36"/>
    </row>
    <row r="133" spans="2:10" ht="12.75">
      <c r="B133" s="36"/>
      <c r="C133" s="36"/>
      <c r="D133" s="36"/>
      <c r="E133" s="36"/>
      <c r="F133" s="36"/>
      <c r="G133" s="36"/>
      <c r="H133" s="36"/>
      <c r="I133" s="36"/>
      <c r="J133" s="36"/>
    </row>
    <row r="134" spans="2:10" ht="12.75">
      <c r="B134" s="36"/>
      <c r="C134" s="36"/>
      <c r="D134" s="36"/>
      <c r="E134" s="36"/>
      <c r="F134" s="36"/>
      <c r="G134" s="36"/>
      <c r="H134" s="36"/>
      <c r="I134" s="36"/>
      <c r="J134" s="36"/>
    </row>
    <row r="135" spans="2:10" ht="12.75">
      <c r="B135" s="36"/>
      <c r="C135" s="36"/>
      <c r="D135" s="36"/>
      <c r="E135" s="36"/>
      <c r="F135" s="36"/>
      <c r="G135" s="36"/>
      <c r="H135" s="36"/>
      <c r="I135" s="36"/>
      <c r="J135" s="36"/>
    </row>
    <row r="136" spans="2:10" ht="12.75">
      <c r="B136" s="36"/>
      <c r="C136" s="36"/>
      <c r="D136" s="36"/>
      <c r="E136" s="36"/>
      <c r="F136" s="36"/>
      <c r="G136" s="36"/>
      <c r="H136" s="36"/>
      <c r="I136" s="36"/>
      <c r="J136" s="36"/>
    </row>
    <row r="137" spans="2:10" ht="12.75">
      <c r="B137" s="36"/>
      <c r="C137" s="36"/>
      <c r="D137" s="36"/>
      <c r="E137" s="36"/>
      <c r="F137" s="36"/>
      <c r="G137" s="36"/>
      <c r="H137" s="36"/>
      <c r="I137" s="36"/>
      <c r="J137" s="36"/>
    </row>
    <row r="138" spans="2:10" ht="12.75">
      <c r="B138" s="36"/>
      <c r="C138" s="36"/>
      <c r="D138" s="36"/>
      <c r="E138" s="36"/>
      <c r="F138" s="36"/>
      <c r="G138" s="36"/>
      <c r="H138" s="36"/>
      <c r="I138" s="36"/>
      <c r="J138" s="36"/>
    </row>
    <row r="139" spans="2:10" ht="12.75">
      <c r="B139" s="36"/>
      <c r="C139" s="36"/>
      <c r="D139" s="36"/>
      <c r="E139" s="36"/>
      <c r="F139" s="36"/>
      <c r="G139" s="36"/>
      <c r="H139" s="36"/>
      <c r="I139" s="36"/>
      <c r="J139" s="36"/>
    </row>
    <row r="140" spans="2:10" ht="12.75">
      <c r="B140" s="36"/>
      <c r="C140" s="36"/>
      <c r="D140" s="36"/>
      <c r="E140" s="36"/>
      <c r="F140" s="36"/>
      <c r="G140" s="36"/>
      <c r="H140" s="36"/>
      <c r="I140" s="36"/>
      <c r="J140" s="36"/>
    </row>
    <row r="141" spans="2:10" ht="12.75">
      <c r="B141" s="36"/>
      <c r="C141" s="36"/>
      <c r="D141" s="36"/>
      <c r="E141" s="36"/>
      <c r="F141" s="36"/>
      <c r="G141" s="36"/>
      <c r="H141" s="36"/>
      <c r="I141" s="36"/>
      <c r="J141" s="36"/>
    </row>
    <row r="142" spans="2:10" ht="12.75">
      <c r="B142" s="36"/>
      <c r="C142" s="36"/>
      <c r="D142" s="36"/>
      <c r="E142" s="36"/>
      <c r="F142" s="36"/>
      <c r="G142" s="36"/>
      <c r="H142" s="36"/>
      <c r="I142" s="36"/>
      <c r="J142" s="36"/>
    </row>
    <row r="143" spans="2:10" ht="12.75">
      <c r="B143" s="36"/>
      <c r="C143" s="36"/>
      <c r="D143" s="36"/>
      <c r="E143" s="36"/>
      <c r="F143" s="36"/>
      <c r="G143" s="36"/>
      <c r="H143" s="36"/>
      <c r="I143" s="36"/>
      <c r="J143" s="36"/>
    </row>
    <row r="144" spans="2:10" ht="12.75">
      <c r="B144" s="36"/>
      <c r="C144" s="36"/>
      <c r="D144" s="36"/>
      <c r="E144" s="36"/>
      <c r="F144" s="36"/>
      <c r="G144" s="36"/>
      <c r="H144" s="36"/>
      <c r="I144" s="36"/>
      <c r="J144" s="36"/>
    </row>
    <row r="145" spans="2:10" ht="12.75">
      <c r="B145" s="36"/>
      <c r="C145" s="36"/>
      <c r="D145" s="36"/>
      <c r="E145" s="36"/>
      <c r="F145" s="36"/>
      <c r="G145" s="36"/>
      <c r="H145" s="36"/>
      <c r="I145" s="36"/>
      <c r="J145" s="36"/>
    </row>
    <row r="146" spans="2:10" ht="12.75">
      <c r="B146" s="36"/>
      <c r="C146" s="36"/>
      <c r="D146" s="36"/>
      <c r="E146" s="36"/>
      <c r="F146" s="36"/>
      <c r="G146" s="36"/>
      <c r="H146" s="36"/>
      <c r="I146" s="36"/>
      <c r="J146" s="36"/>
    </row>
    <row r="147" spans="2:10" ht="12.75">
      <c r="B147" s="36"/>
      <c r="C147" s="36"/>
      <c r="D147" s="36"/>
      <c r="E147" s="36"/>
      <c r="F147" s="36"/>
      <c r="G147" s="36"/>
      <c r="H147" s="36"/>
      <c r="I147" s="36"/>
      <c r="J147" s="36"/>
    </row>
    <row r="148" spans="2:10" ht="12.75">
      <c r="B148" s="36"/>
      <c r="C148" s="36"/>
      <c r="D148" s="36"/>
      <c r="E148" s="36"/>
      <c r="F148" s="36"/>
      <c r="G148" s="36"/>
      <c r="H148" s="36"/>
      <c r="I148" s="36"/>
      <c r="J148" s="36"/>
    </row>
    <row r="149" spans="2:10" ht="12.75">
      <c r="B149" s="36"/>
      <c r="C149" s="36"/>
      <c r="D149" s="36"/>
      <c r="E149" s="36"/>
      <c r="F149" s="36"/>
      <c r="G149" s="36"/>
      <c r="H149" s="36"/>
      <c r="I149" s="36"/>
      <c r="J149" s="36"/>
    </row>
    <row r="150" spans="2:10" ht="12.75">
      <c r="B150" s="36"/>
      <c r="C150" s="36"/>
      <c r="D150" s="36"/>
      <c r="E150" s="36"/>
      <c r="F150" s="36"/>
      <c r="G150" s="36"/>
      <c r="H150" s="36"/>
      <c r="I150" s="36"/>
      <c r="J150" s="36"/>
    </row>
    <row r="151" spans="2:10" ht="12.75">
      <c r="B151" s="36"/>
      <c r="C151" s="36"/>
      <c r="D151" s="36"/>
      <c r="E151" s="36"/>
      <c r="F151" s="36"/>
      <c r="G151" s="36"/>
      <c r="H151" s="36"/>
      <c r="I151" s="36"/>
      <c r="J151" s="36"/>
    </row>
    <row r="152" spans="2:10" ht="12.75">
      <c r="B152" s="36"/>
      <c r="C152" s="36"/>
      <c r="D152" s="36"/>
      <c r="E152" s="36"/>
      <c r="F152" s="36"/>
      <c r="G152" s="36"/>
      <c r="H152" s="36"/>
      <c r="I152" s="36"/>
      <c r="J152" s="36"/>
    </row>
    <row r="153" spans="2:10" ht="12.75">
      <c r="B153" s="36"/>
      <c r="C153" s="36"/>
      <c r="D153" s="36"/>
      <c r="E153" s="36"/>
      <c r="F153" s="36"/>
      <c r="G153" s="36"/>
      <c r="H153" s="36"/>
      <c r="I153" s="36"/>
      <c r="J153" s="36"/>
    </row>
    <row r="154" spans="2:10" ht="12.75">
      <c r="B154" s="36"/>
      <c r="C154" s="36"/>
      <c r="D154" s="36"/>
      <c r="E154" s="36"/>
      <c r="F154" s="36"/>
      <c r="G154" s="36"/>
      <c r="H154" s="36"/>
      <c r="I154" s="36"/>
      <c r="J154" s="36"/>
    </row>
    <row r="155" spans="2:10" ht="12.75">
      <c r="B155" s="36"/>
      <c r="C155" s="36"/>
      <c r="D155" s="36"/>
      <c r="E155" s="36"/>
      <c r="F155" s="36"/>
      <c r="G155" s="36"/>
      <c r="H155" s="36"/>
      <c r="I155" s="36"/>
      <c r="J155" s="36"/>
    </row>
    <row r="156" spans="2:10" ht="12.75">
      <c r="B156" s="36"/>
      <c r="C156" s="36"/>
      <c r="D156" s="36"/>
      <c r="E156" s="36"/>
      <c r="F156" s="36"/>
      <c r="G156" s="36"/>
      <c r="H156" s="36"/>
      <c r="I156" s="36"/>
      <c r="J156" s="36"/>
    </row>
    <row r="157" spans="2:10" ht="12.75">
      <c r="B157" s="36"/>
      <c r="C157" s="36"/>
      <c r="D157" s="36"/>
      <c r="E157" s="36"/>
      <c r="F157" s="36"/>
      <c r="G157" s="36"/>
      <c r="H157" s="36"/>
      <c r="I157" s="36"/>
      <c r="J157" s="36"/>
    </row>
    <row r="158" spans="2:10" ht="12.75">
      <c r="B158" s="36"/>
      <c r="C158" s="36"/>
      <c r="D158" s="36"/>
      <c r="E158" s="36"/>
      <c r="F158" s="36"/>
      <c r="G158" s="36"/>
      <c r="H158" s="36"/>
      <c r="I158" s="36"/>
      <c r="J158" s="36"/>
    </row>
    <row r="159" spans="2:10" ht="12.75">
      <c r="B159" s="36"/>
      <c r="C159" s="36"/>
      <c r="D159" s="36"/>
      <c r="E159" s="36"/>
      <c r="F159" s="36"/>
      <c r="G159" s="36"/>
      <c r="H159" s="36"/>
      <c r="I159" s="36"/>
      <c r="J159" s="36"/>
    </row>
    <row r="160" spans="2:10" ht="12.75">
      <c r="B160" s="36"/>
      <c r="C160" s="36"/>
      <c r="D160" s="36"/>
      <c r="E160" s="36"/>
      <c r="F160" s="36"/>
      <c r="G160" s="36"/>
      <c r="H160" s="36"/>
      <c r="I160" s="36"/>
      <c r="J160" s="36"/>
    </row>
    <row r="161" spans="2:10" ht="12.75">
      <c r="B161" s="36"/>
      <c r="C161" s="36"/>
      <c r="D161" s="36"/>
      <c r="E161" s="36"/>
      <c r="F161" s="36"/>
      <c r="G161" s="36"/>
      <c r="H161" s="36"/>
      <c r="I161" s="36"/>
      <c r="J161" s="36"/>
    </row>
    <row r="162" spans="2:10" ht="12.75">
      <c r="B162" s="36"/>
      <c r="C162" s="36"/>
      <c r="D162" s="36"/>
      <c r="E162" s="36"/>
      <c r="F162" s="36"/>
      <c r="G162" s="36"/>
      <c r="H162" s="36"/>
      <c r="I162" s="36"/>
      <c r="J162" s="36"/>
    </row>
    <row r="163" spans="2:10" ht="12.75">
      <c r="B163" s="36"/>
      <c r="C163" s="36"/>
      <c r="D163" s="36"/>
      <c r="E163" s="36"/>
      <c r="F163" s="36"/>
      <c r="G163" s="36"/>
      <c r="H163" s="36"/>
      <c r="I163" s="36"/>
      <c r="J163" s="36"/>
    </row>
    <row r="164" spans="2:10" ht="12.75">
      <c r="B164" s="36"/>
      <c r="C164" s="36"/>
      <c r="D164" s="36"/>
      <c r="E164" s="36"/>
      <c r="F164" s="36"/>
      <c r="G164" s="36"/>
      <c r="H164" s="36"/>
      <c r="I164" s="36"/>
      <c r="J164" s="36"/>
    </row>
    <row r="165" spans="2:10" ht="12.75">
      <c r="B165" s="36"/>
      <c r="C165" s="36"/>
      <c r="D165" s="36"/>
      <c r="E165" s="36"/>
      <c r="F165" s="36"/>
      <c r="G165" s="36"/>
      <c r="H165" s="36"/>
      <c r="I165" s="36"/>
      <c r="J165" s="36"/>
    </row>
    <row r="166" spans="2:10" ht="12.75">
      <c r="B166" s="36"/>
      <c r="C166" s="36"/>
      <c r="D166" s="36"/>
      <c r="E166" s="36"/>
      <c r="F166" s="36"/>
      <c r="G166" s="36"/>
      <c r="H166" s="36"/>
      <c r="I166" s="36"/>
      <c r="J166" s="36"/>
    </row>
    <row r="167" spans="2:10" ht="12.75">
      <c r="B167" s="36"/>
      <c r="C167" s="36"/>
      <c r="D167" s="36"/>
      <c r="E167" s="36"/>
      <c r="F167" s="36"/>
      <c r="G167" s="36"/>
      <c r="H167" s="36"/>
      <c r="I167" s="36"/>
      <c r="J167" s="36"/>
    </row>
    <row r="168" spans="2:10" ht="12.75">
      <c r="B168" s="36"/>
      <c r="C168" s="36"/>
      <c r="D168" s="36"/>
      <c r="E168" s="36"/>
      <c r="F168" s="36"/>
      <c r="G168" s="36"/>
      <c r="H168" s="36"/>
      <c r="I168" s="36"/>
      <c r="J168" s="36"/>
    </row>
    <row r="169" spans="2:10" ht="12.75">
      <c r="B169" s="36"/>
      <c r="C169" s="36"/>
      <c r="D169" s="36"/>
      <c r="E169" s="36"/>
      <c r="F169" s="36"/>
      <c r="G169" s="36"/>
      <c r="H169" s="36"/>
      <c r="I169" s="36"/>
      <c r="J169" s="36"/>
    </row>
    <row r="170" spans="2:10" ht="12.75">
      <c r="B170" s="36"/>
      <c r="C170" s="36"/>
      <c r="D170" s="36"/>
      <c r="E170" s="36"/>
      <c r="F170" s="36"/>
      <c r="G170" s="36"/>
      <c r="H170" s="36"/>
      <c r="I170" s="36"/>
      <c r="J170" s="36"/>
    </row>
    <row r="171" spans="2:10" ht="12.75">
      <c r="B171" s="36"/>
      <c r="C171" s="36"/>
      <c r="D171" s="36"/>
      <c r="E171" s="36"/>
      <c r="F171" s="36"/>
      <c r="G171" s="36"/>
      <c r="H171" s="36"/>
      <c r="I171" s="36"/>
      <c r="J171" s="36"/>
    </row>
    <row r="172" spans="2:10" ht="12.75">
      <c r="B172" s="36"/>
      <c r="C172" s="36"/>
      <c r="D172" s="36"/>
      <c r="E172" s="36"/>
      <c r="F172" s="36"/>
      <c r="G172" s="36"/>
      <c r="H172" s="36"/>
      <c r="I172" s="36"/>
      <c r="J172" s="36"/>
    </row>
    <row r="173" spans="2:10" ht="12.75">
      <c r="B173" s="36"/>
      <c r="C173" s="36"/>
      <c r="D173" s="36"/>
      <c r="E173" s="36"/>
      <c r="F173" s="36"/>
      <c r="G173" s="36"/>
      <c r="H173" s="36"/>
      <c r="I173" s="36"/>
      <c r="J173" s="36"/>
    </row>
    <row r="174" spans="2:10" ht="12.75">
      <c r="B174" s="36"/>
      <c r="C174" s="36"/>
      <c r="D174" s="36"/>
      <c r="E174" s="36"/>
      <c r="F174" s="36"/>
      <c r="G174" s="36"/>
      <c r="H174" s="36"/>
      <c r="I174" s="36"/>
      <c r="J174" s="36"/>
    </row>
    <row r="175" spans="2:10" ht="12.75">
      <c r="B175" s="36"/>
      <c r="C175" s="36"/>
      <c r="D175" s="36"/>
      <c r="E175" s="36"/>
      <c r="F175" s="36"/>
      <c r="G175" s="36"/>
      <c r="H175" s="36"/>
      <c r="I175" s="36"/>
      <c r="J175" s="36"/>
    </row>
    <row r="176" spans="2:10" ht="12.75">
      <c r="B176" s="36"/>
      <c r="C176" s="36"/>
      <c r="D176" s="36"/>
      <c r="E176" s="36"/>
      <c r="F176" s="36"/>
      <c r="G176" s="36"/>
      <c r="H176" s="36"/>
      <c r="I176" s="36"/>
      <c r="J176" s="36"/>
    </row>
    <row r="177" spans="2:10" ht="12.75">
      <c r="B177" s="36"/>
      <c r="C177" s="36"/>
      <c r="D177" s="36"/>
      <c r="E177" s="36"/>
      <c r="F177" s="36"/>
      <c r="G177" s="36"/>
      <c r="H177" s="36"/>
      <c r="I177" s="36"/>
      <c r="J177" s="36"/>
    </row>
    <row r="178" spans="2:10" ht="12.75">
      <c r="B178" s="36"/>
      <c r="C178" s="36"/>
      <c r="D178" s="36"/>
      <c r="E178" s="36"/>
      <c r="F178" s="36"/>
      <c r="G178" s="36"/>
      <c r="H178" s="36"/>
      <c r="I178" s="36"/>
      <c r="J178" s="36"/>
    </row>
    <row r="179" spans="2:10" ht="12.75">
      <c r="B179" s="36"/>
      <c r="C179" s="36"/>
      <c r="D179" s="36"/>
      <c r="E179" s="36"/>
      <c r="F179" s="36"/>
      <c r="G179" s="36"/>
      <c r="H179" s="36"/>
      <c r="I179" s="36"/>
      <c r="J179" s="36"/>
    </row>
    <row r="180" spans="2:10" ht="12.75">
      <c r="B180" s="36"/>
      <c r="C180" s="36"/>
      <c r="D180" s="36"/>
      <c r="E180" s="36"/>
      <c r="F180" s="36"/>
      <c r="G180" s="36"/>
      <c r="H180" s="36"/>
      <c r="I180" s="36"/>
      <c r="J180" s="36"/>
    </row>
    <row r="181" spans="2:10" ht="12.75">
      <c r="B181" s="36"/>
      <c r="C181" s="36"/>
      <c r="D181" s="36"/>
      <c r="E181" s="36"/>
      <c r="F181" s="36"/>
      <c r="G181" s="36"/>
      <c r="H181" s="36"/>
      <c r="I181" s="36"/>
      <c r="J181" s="36"/>
    </row>
    <row r="182" spans="2:10" ht="12.75">
      <c r="B182" s="36"/>
      <c r="C182" s="36"/>
      <c r="D182" s="36"/>
      <c r="E182" s="36"/>
      <c r="F182" s="36"/>
      <c r="G182" s="36"/>
      <c r="H182" s="36"/>
      <c r="I182" s="36"/>
      <c r="J182" s="36"/>
    </row>
    <row r="183" spans="2:10" ht="12.75">
      <c r="B183" s="36"/>
      <c r="C183" s="36"/>
      <c r="D183" s="36"/>
      <c r="E183" s="36"/>
      <c r="F183" s="36"/>
      <c r="G183" s="36"/>
      <c r="H183" s="36"/>
      <c r="I183" s="36"/>
      <c r="J183" s="36"/>
    </row>
    <row r="184" spans="2:10" ht="12.75">
      <c r="B184" s="36"/>
      <c r="C184" s="36"/>
      <c r="D184" s="36"/>
      <c r="E184" s="36"/>
      <c r="F184" s="36"/>
      <c r="G184" s="36"/>
      <c r="H184" s="36"/>
      <c r="I184" s="36"/>
      <c r="J184" s="36"/>
    </row>
    <row r="185" spans="2:10" ht="12.75">
      <c r="B185" s="36"/>
      <c r="C185" s="36"/>
      <c r="D185" s="36"/>
      <c r="E185" s="36"/>
      <c r="F185" s="36"/>
      <c r="G185" s="36"/>
      <c r="H185" s="36"/>
      <c r="I185" s="36"/>
      <c r="J185" s="36"/>
    </row>
    <row r="186" spans="2:10" ht="12.75">
      <c r="B186" s="36"/>
      <c r="C186" s="36"/>
      <c r="D186" s="36"/>
      <c r="E186" s="36"/>
      <c r="F186" s="36"/>
      <c r="G186" s="36"/>
      <c r="H186" s="36"/>
      <c r="I186" s="36"/>
      <c r="J186" s="36"/>
    </row>
    <row r="187" spans="2:10" ht="14.25" customHeight="1">
      <c r="B187" s="36"/>
      <c r="C187" s="36"/>
      <c r="D187" s="36"/>
      <c r="E187" s="36"/>
      <c r="F187" s="36"/>
      <c r="G187" s="36"/>
      <c r="H187" s="36"/>
      <c r="I187" s="36"/>
      <c r="J187" s="36"/>
    </row>
    <row r="188" spans="2:10" ht="12.75" customHeight="1">
      <c r="B188" s="36"/>
      <c r="C188" s="36"/>
      <c r="D188" s="36"/>
      <c r="E188" s="36"/>
      <c r="F188" s="36"/>
      <c r="G188" s="36"/>
      <c r="H188" s="36"/>
      <c r="I188" s="36"/>
      <c r="J188" s="36"/>
    </row>
    <row r="189" spans="2:10" ht="12.75" customHeight="1">
      <c r="B189" s="36"/>
      <c r="C189" s="36"/>
      <c r="D189" s="36"/>
      <c r="E189" s="36"/>
      <c r="F189" s="36"/>
      <c r="G189" s="36"/>
      <c r="H189" s="36"/>
      <c r="I189" s="36"/>
      <c r="J189" s="36"/>
    </row>
    <row r="190" spans="2:10" ht="12.75" customHeight="1">
      <c r="B190" s="36"/>
      <c r="C190" s="36"/>
      <c r="D190" s="36"/>
      <c r="E190" s="36"/>
      <c r="F190" s="36"/>
      <c r="G190" s="36"/>
      <c r="H190" s="36"/>
      <c r="I190" s="36"/>
      <c r="J190" s="36"/>
    </row>
    <row r="191" spans="2:10" ht="12.75" customHeight="1">
      <c r="B191" s="36"/>
      <c r="C191" s="36"/>
      <c r="D191" s="36"/>
      <c r="E191" s="36"/>
      <c r="F191" s="36"/>
      <c r="G191" s="36"/>
      <c r="H191" s="36"/>
      <c r="I191" s="36"/>
      <c r="J191" s="36"/>
    </row>
    <row r="192" spans="2:10" ht="12.75" customHeight="1">
      <c r="B192" s="36"/>
      <c r="C192" s="36"/>
      <c r="D192" s="36"/>
      <c r="E192" s="36"/>
      <c r="F192" s="36"/>
      <c r="G192" s="36"/>
      <c r="H192" s="36"/>
      <c r="I192" s="36"/>
      <c r="J192" s="36"/>
    </row>
    <row r="193" spans="2:10" ht="12.75" customHeight="1">
      <c r="B193" s="36"/>
      <c r="C193" s="36"/>
      <c r="D193" s="36"/>
      <c r="E193" s="36"/>
      <c r="F193" s="36"/>
      <c r="G193" s="36"/>
      <c r="H193" s="36"/>
      <c r="I193" s="36"/>
      <c r="J193" s="36"/>
    </row>
    <row r="194" spans="2:10" ht="12.75" customHeight="1">
      <c r="B194" s="36"/>
      <c r="C194" s="36"/>
      <c r="D194" s="36"/>
      <c r="E194" s="36"/>
      <c r="F194" s="36"/>
      <c r="G194" s="36"/>
      <c r="H194" s="36"/>
      <c r="I194" s="36"/>
      <c r="J194" s="36"/>
    </row>
    <row r="195" spans="2:10" ht="12.75" customHeight="1">
      <c r="B195" s="36"/>
      <c r="C195" s="36"/>
      <c r="D195" s="36"/>
      <c r="E195" s="36"/>
      <c r="F195" s="36"/>
      <c r="G195" s="36"/>
      <c r="H195" s="36"/>
      <c r="I195" s="36"/>
      <c r="J195" s="36"/>
    </row>
    <row r="196" spans="2:10" ht="12.75" customHeight="1">
      <c r="B196" s="36"/>
      <c r="C196" s="36"/>
      <c r="D196" s="36"/>
      <c r="E196" s="36"/>
      <c r="F196" s="36"/>
      <c r="G196" s="36"/>
      <c r="H196" s="36"/>
      <c r="I196" s="36"/>
      <c r="J196" s="36"/>
    </row>
    <row r="197" spans="2:10" ht="12.75" customHeight="1">
      <c r="B197" s="36"/>
      <c r="C197" s="36"/>
      <c r="D197" s="36"/>
      <c r="E197" s="36"/>
      <c r="F197" s="36"/>
      <c r="G197" s="36"/>
      <c r="H197" s="36"/>
      <c r="I197" s="36"/>
      <c r="J197" s="36"/>
    </row>
    <row r="198" spans="2:10" ht="12.75" customHeight="1">
      <c r="B198" s="36"/>
      <c r="C198" s="36"/>
      <c r="D198" s="36"/>
      <c r="E198" s="36"/>
      <c r="F198" s="36"/>
      <c r="G198" s="36"/>
      <c r="H198" s="36"/>
      <c r="I198" s="36"/>
      <c r="J198" s="36"/>
    </row>
    <row r="199" spans="2:10" ht="12.75" customHeight="1">
      <c r="B199" s="36"/>
      <c r="C199" s="36"/>
      <c r="D199" s="36"/>
      <c r="E199" s="36"/>
      <c r="F199" s="36"/>
      <c r="G199" s="36"/>
      <c r="H199" s="36"/>
      <c r="I199" s="36"/>
      <c r="J199" s="36"/>
    </row>
    <row r="200" spans="2:10" ht="12.75" customHeight="1">
      <c r="B200" s="36"/>
      <c r="C200" s="36"/>
      <c r="D200" s="36"/>
      <c r="E200" s="36"/>
      <c r="F200" s="36"/>
      <c r="G200" s="36"/>
      <c r="H200" s="36"/>
      <c r="I200" s="36"/>
      <c r="J200" s="36"/>
    </row>
    <row r="201" spans="2:10" ht="12.75" customHeight="1">
      <c r="B201" s="36"/>
      <c r="C201" s="36"/>
      <c r="D201" s="36"/>
      <c r="E201" s="36"/>
      <c r="F201" s="36"/>
      <c r="G201" s="36"/>
      <c r="H201" s="36"/>
      <c r="I201" s="36"/>
      <c r="J201" s="36"/>
    </row>
    <row r="202" spans="2:10" ht="12.75" customHeight="1">
      <c r="B202" s="36"/>
      <c r="C202" s="36"/>
      <c r="D202" s="36"/>
      <c r="E202" s="36"/>
      <c r="F202" s="36"/>
      <c r="G202" s="36"/>
      <c r="H202" s="36"/>
      <c r="I202" s="36"/>
      <c r="J202" s="36"/>
    </row>
    <row r="203" spans="2:10" ht="12.75">
      <c r="B203" s="36"/>
      <c r="C203" s="36"/>
      <c r="D203" s="36"/>
      <c r="E203" s="36"/>
      <c r="F203" s="36"/>
      <c r="G203" s="36"/>
      <c r="H203" s="36"/>
      <c r="I203" s="36"/>
      <c r="J203" s="36"/>
    </row>
    <row r="204" spans="2:10" ht="12.75">
      <c r="B204" s="36"/>
      <c r="C204" s="36"/>
      <c r="D204" s="36"/>
      <c r="E204" s="36"/>
      <c r="F204" s="36"/>
      <c r="G204" s="36"/>
      <c r="H204" s="36"/>
      <c r="I204" s="36"/>
      <c r="J204" s="36"/>
    </row>
    <row r="205" spans="2:10" ht="12.75">
      <c r="B205" s="36"/>
      <c r="C205" s="36"/>
      <c r="D205" s="36"/>
      <c r="E205" s="36"/>
      <c r="F205" s="36"/>
      <c r="G205" s="36"/>
      <c r="H205" s="36"/>
      <c r="I205" s="36"/>
      <c r="J205" s="36"/>
    </row>
    <row r="206" spans="2:10" ht="12.75">
      <c r="B206" s="36"/>
      <c r="C206" s="36"/>
      <c r="D206" s="36"/>
      <c r="E206" s="36"/>
      <c r="F206" s="36"/>
      <c r="G206" s="36"/>
      <c r="H206" s="36"/>
      <c r="I206" s="36"/>
      <c r="J206" s="36"/>
    </row>
    <row r="207" spans="2:10" ht="12.75">
      <c r="B207" s="36"/>
      <c r="C207" s="36"/>
      <c r="D207" s="36"/>
      <c r="E207" s="36"/>
      <c r="F207" s="36"/>
      <c r="G207" s="36"/>
      <c r="H207" s="36"/>
      <c r="I207" s="36"/>
      <c r="J207" s="36"/>
    </row>
    <row r="208" spans="2:10" ht="12.75">
      <c r="B208" s="36"/>
      <c r="C208" s="36"/>
      <c r="D208" s="36"/>
      <c r="E208" s="36"/>
      <c r="F208" s="36"/>
      <c r="G208" s="36"/>
      <c r="H208" s="36"/>
      <c r="I208" s="36"/>
      <c r="J208" s="36"/>
    </row>
    <row r="209" spans="2:10" ht="12.75">
      <c r="B209" s="36"/>
      <c r="C209" s="36"/>
      <c r="D209" s="36"/>
      <c r="E209" s="36"/>
      <c r="F209" s="36"/>
      <c r="G209" s="36"/>
      <c r="H209" s="36"/>
      <c r="I209" s="36"/>
      <c r="J209" s="36"/>
    </row>
    <row r="210" spans="2:10" ht="12.75">
      <c r="B210" s="36"/>
      <c r="C210" s="36"/>
      <c r="D210" s="36"/>
      <c r="E210" s="36"/>
      <c r="F210" s="36"/>
      <c r="G210" s="36"/>
      <c r="H210" s="36"/>
      <c r="I210" s="36"/>
      <c r="J210" s="36"/>
    </row>
    <row r="211" spans="2:10" ht="12.75">
      <c r="B211" s="36"/>
      <c r="C211" s="36"/>
      <c r="D211" s="36"/>
      <c r="E211" s="36"/>
      <c r="F211" s="36"/>
      <c r="G211" s="36"/>
      <c r="H211" s="36"/>
      <c r="I211" s="36"/>
      <c r="J211" s="36"/>
    </row>
    <row r="212" spans="2:10" ht="12.75">
      <c r="B212" s="36"/>
      <c r="C212" s="36"/>
      <c r="D212" s="36"/>
      <c r="E212" s="36"/>
      <c r="F212" s="36"/>
      <c r="G212" s="36"/>
      <c r="H212" s="36"/>
      <c r="I212" s="36"/>
      <c r="J212" s="36"/>
    </row>
    <row r="213" spans="2:10" ht="12.75">
      <c r="B213" s="36"/>
      <c r="C213" s="36"/>
      <c r="D213" s="36"/>
      <c r="E213" s="36"/>
      <c r="F213" s="36"/>
      <c r="G213" s="36"/>
      <c r="H213" s="36"/>
      <c r="I213" s="36"/>
      <c r="J213" s="36"/>
    </row>
    <row r="214" spans="2:10" ht="12.75">
      <c r="B214" s="36"/>
      <c r="C214" s="36"/>
      <c r="D214" s="36"/>
      <c r="E214" s="36"/>
      <c r="F214" s="36"/>
      <c r="G214" s="36"/>
      <c r="H214" s="36"/>
      <c r="I214" s="36"/>
      <c r="J214" s="36"/>
    </row>
    <row r="215" spans="2:10" ht="12.75">
      <c r="B215" s="36"/>
      <c r="C215" s="36"/>
      <c r="D215" s="36"/>
      <c r="E215" s="36"/>
      <c r="F215" s="36"/>
      <c r="G215" s="36"/>
      <c r="H215" s="36"/>
      <c r="I215" s="36"/>
      <c r="J215" s="36"/>
    </row>
    <row r="216" spans="2:10" ht="12.75">
      <c r="B216" s="36"/>
      <c r="C216" s="36"/>
      <c r="D216" s="36"/>
      <c r="E216" s="36"/>
      <c r="F216" s="36"/>
      <c r="G216" s="36"/>
      <c r="H216" s="36"/>
      <c r="I216" s="36"/>
      <c r="J216" s="36"/>
    </row>
    <row r="217" spans="2:10" ht="12.75">
      <c r="B217" s="36"/>
      <c r="C217" s="36"/>
      <c r="D217" s="36"/>
      <c r="E217" s="36"/>
      <c r="F217" s="36"/>
      <c r="G217" s="36"/>
      <c r="H217" s="36"/>
      <c r="I217" s="36"/>
      <c r="J217" s="36"/>
    </row>
    <row r="218" spans="2:10" ht="12.75">
      <c r="B218" s="36"/>
      <c r="C218" s="36"/>
      <c r="D218" s="36"/>
      <c r="E218" s="36"/>
      <c r="F218" s="36"/>
      <c r="G218" s="36"/>
      <c r="H218" s="36"/>
      <c r="I218" s="36"/>
      <c r="J218" s="36"/>
    </row>
    <row r="219" spans="2:10" ht="12.75">
      <c r="B219" s="36"/>
      <c r="C219" s="36"/>
      <c r="D219" s="36"/>
      <c r="E219" s="36"/>
      <c r="F219" s="36"/>
      <c r="G219" s="36"/>
      <c r="H219" s="36"/>
      <c r="I219" s="36"/>
      <c r="J219" s="36"/>
    </row>
    <row r="220" spans="2:10" ht="12.75">
      <c r="B220" s="36"/>
      <c r="C220" s="36"/>
      <c r="D220" s="36"/>
      <c r="E220" s="36"/>
      <c r="F220" s="36"/>
      <c r="G220" s="36"/>
      <c r="H220" s="36"/>
      <c r="I220" s="36"/>
      <c r="J220" s="36"/>
    </row>
  </sheetData>
  <sheetProtection password="CA99" sheet="1" objects="1" scenarios="1"/>
  <mergeCells count="7">
    <mergeCell ref="A1:I1"/>
    <mergeCell ref="A2:I2"/>
    <mergeCell ref="A3:I3"/>
    <mergeCell ref="E8:E9"/>
    <mergeCell ref="A4:I4"/>
    <mergeCell ref="G8:G9"/>
    <mergeCell ref="I8:I9"/>
  </mergeCells>
  <printOptions/>
  <pageMargins left="0.26" right="1.28" top="1" bottom="1" header="0.75" footer="0.5"/>
  <pageSetup fitToHeight="1" fitToWidth="1" horizontalDpi="600" verticalDpi="600" orientation="portrait" scale="54" r:id="rId1"/>
  <headerFooter alignWithMargins="0">
    <oddHeader>&amp;R&amp;"Arial,Bold"Formula Rate
 &amp;A
Page &amp;P of &amp;N</oddHeader>
  </headerFooter>
  <rowBreaks count="1" manualBreakCount="1">
    <brk id="59" max="255" man="1"/>
  </rowBreaks>
</worksheet>
</file>

<file path=xl/worksheets/sheet5.xml><?xml version="1.0" encoding="utf-8"?>
<worksheet xmlns="http://schemas.openxmlformats.org/spreadsheetml/2006/main" xmlns:r="http://schemas.openxmlformats.org/officeDocument/2006/relationships">
  <sheetPr>
    <tabColor rgb="FFCCFFFF"/>
    <pageSetUpPr fitToPage="1"/>
  </sheetPr>
  <dimension ref="A1:O123"/>
  <sheetViews>
    <sheetView zoomScale="75" zoomScaleNormal="75" zoomScalePageLayoutView="0" workbookViewId="0" topLeftCell="B19">
      <selection activeCell="B37" sqref="B37:D51"/>
    </sheetView>
  </sheetViews>
  <sheetFormatPr defaultColWidth="11.421875" defaultRowHeight="12.75"/>
  <cols>
    <col min="1" max="1" width="8.140625" style="104" customWidth="1"/>
    <col min="2" max="2" width="10.28125" style="105" customWidth="1"/>
    <col min="3" max="3" width="41.7109375" style="105" customWidth="1"/>
    <col min="4" max="4" width="30.00390625" style="105" customWidth="1"/>
    <col min="5" max="5" width="22.140625" style="114" customWidth="1"/>
    <col min="6" max="6" width="0.9921875" style="114" customWidth="1"/>
    <col min="7" max="7" width="20.8515625" style="105" customWidth="1"/>
    <col min="8" max="8" width="0.9921875" style="105" customWidth="1"/>
    <col min="9" max="9" width="19.140625" style="105" customWidth="1"/>
    <col min="10" max="10" width="16.7109375" style="105" customWidth="1"/>
    <col min="11" max="11" width="15.28125" style="105" customWidth="1"/>
    <col min="12" max="12" width="30.140625" style="105" bestFit="1" customWidth="1"/>
    <col min="13" max="14" width="13.421875" style="105" customWidth="1"/>
    <col min="15" max="15" width="13.7109375" style="105" customWidth="1"/>
    <col min="16" max="16384" width="11.421875" style="105" customWidth="1"/>
  </cols>
  <sheetData>
    <row r="1" spans="1:15" ht="15">
      <c r="A1" s="1250" t="str">
        <f>TCOS!$F$3</f>
        <v>AEPTCo subsidiaries in PJM</v>
      </c>
      <c r="B1" s="1250" t="str">
        <f>TCOS!$F$3</f>
        <v>AEPTCo subsidiaries in PJM</v>
      </c>
      <c r="C1" s="1250" t="str">
        <f>TCOS!$F$3</f>
        <v>AEPTCo subsidiaries in PJM</v>
      </c>
      <c r="D1" s="1250" t="str">
        <f>TCOS!$F$3</f>
        <v>AEPTCo subsidiaries in PJM</v>
      </c>
      <c r="E1" s="1250" t="str">
        <f>TCOS!$F$3</f>
        <v>AEPTCo subsidiaries in PJM</v>
      </c>
      <c r="F1" s="1250" t="str">
        <f>TCOS!$F$3</f>
        <v>AEPTCo subsidiaries in PJM</v>
      </c>
      <c r="G1" s="1250" t="str">
        <f>TCOS!$F$3</f>
        <v>AEPTCo subsidiaries in PJM</v>
      </c>
      <c r="H1" s="1250" t="str">
        <f>TCOS!$F$3</f>
        <v>AEPTCo subsidiaries in PJM</v>
      </c>
      <c r="I1" s="1250" t="str">
        <f>TCOS!$F$3</f>
        <v>AEPTCo subsidiaries in PJM</v>
      </c>
      <c r="J1" s="1250" t="str">
        <f>TCOS!$F$3</f>
        <v>AEPTCo subsidiaries in PJM</v>
      </c>
      <c r="K1" s="1250" t="str">
        <f>TCOS!$F$3</f>
        <v>AEPTCo subsidiaries in PJM</v>
      </c>
      <c r="L1" s="1250" t="str">
        <f>TCOS!$F$3</f>
        <v>AEPTCo subsidiaries in PJM</v>
      </c>
      <c r="M1" s="70"/>
      <c r="N1" s="70"/>
      <c r="O1" s="70"/>
    </row>
    <row r="2" spans="1:15" ht="15">
      <c r="A2" s="1251" t="str">
        <f>"Cost of Service Formula Rate Using Actual/Projected FF1 Balances"</f>
        <v>Cost of Service Formula Rate Using Actual/Projected FF1 Balances</v>
      </c>
      <c r="B2" s="1251"/>
      <c r="C2" s="1251"/>
      <c r="D2" s="1251"/>
      <c r="E2" s="1251"/>
      <c r="F2" s="1251"/>
      <c r="G2" s="1251"/>
      <c r="H2" s="1251"/>
      <c r="I2" s="1251"/>
      <c r="J2" s="1251"/>
      <c r="K2" s="1251"/>
      <c r="L2" s="1251"/>
      <c r="M2" s="128"/>
      <c r="N2" s="128"/>
      <c r="O2" s="128"/>
    </row>
    <row r="3" spans="1:15" ht="15">
      <c r="A3" s="1251" t="s">
        <v>424</v>
      </c>
      <c r="B3" s="1251"/>
      <c r="C3" s="1251"/>
      <c r="D3" s="1251"/>
      <c r="E3" s="1251"/>
      <c r="F3" s="1251"/>
      <c r="G3" s="1251"/>
      <c r="H3" s="1251"/>
      <c r="I3" s="1251"/>
      <c r="J3" s="1251"/>
      <c r="K3" s="1251"/>
      <c r="L3" s="1251"/>
      <c r="M3" s="127"/>
      <c r="N3" s="127"/>
      <c r="O3" s="127"/>
    </row>
    <row r="4" spans="1:15" ht="15">
      <c r="A4" s="1254" t="str">
        <f>+'WS A  - RB Support '!A4:F4</f>
        <v>AEP APPALACHIAN TRANSMISSION COMPANY</v>
      </c>
      <c r="B4" s="1254"/>
      <c r="C4" s="1254"/>
      <c r="D4" s="1254"/>
      <c r="E4" s="1254"/>
      <c r="F4" s="1254"/>
      <c r="G4" s="1254"/>
      <c r="H4" s="1254"/>
      <c r="I4" s="1254"/>
      <c r="J4" s="1254"/>
      <c r="K4" s="1254"/>
      <c r="L4" s="1254"/>
      <c r="M4" s="10"/>
      <c r="N4" s="10"/>
      <c r="O4" s="10"/>
    </row>
    <row r="5" spans="1:15" ht="15">
      <c r="A5" s="10"/>
      <c r="B5" s="10"/>
      <c r="C5" s="10"/>
      <c r="D5" s="10"/>
      <c r="E5" s="10"/>
      <c r="F5" s="10"/>
      <c r="G5" s="10"/>
      <c r="H5" s="9"/>
      <c r="I5" s="103"/>
      <c r="J5" s="103"/>
      <c r="K5" s="103"/>
      <c r="L5" s="103"/>
      <c r="M5" s="103"/>
      <c r="N5" s="103"/>
      <c r="O5" s="103"/>
    </row>
    <row r="6" spans="1:15" ht="12.75" customHeight="1">
      <c r="A6" s="125"/>
      <c r="B6" s="125" t="s">
        <v>683</v>
      </c>
      <c r="C6" s="125" t="s">
        <v>684</v>
      </c>
      <c r="D6" s="123" t="s">
        <v>495</v>
      </c>
      <c r="E6" s="123" t="s">
        <v>686</v>
      </c>
      <c r="F6" s="125"/>
      <c r="G6" s="125" t="s">
        <v>606</v>
      </c>
      <c r="H6" s="125"/>
      <c r="I6" s="125" t="s">
        <v>607</v>
      </c>
      <c r="J6" s="125" t="s">
        <v>608</v>
      </c>
      <c r="K6" s="125" t="s">
        <v>613</v>
      </c>
      <c r="L6" s="125" t="s">
        <v>432</v>
      </c>
      <c r="M6" s="125"/>
      <c r="N6" s="125"/>
      <c r="O6" s="125"/>
    </row>
    <row r="7" ht="12.75">
      <c r="A7" s="102"/>
    </row>
    <row r="8" spans="1:15" ht="18">
      <c r="A8" s="122"/>
      <c r="B8" s="1256" t="s">
        <v>754</v>
      </c>
      <c r="C8" s="1256"/>
      <c r="D8" s="1256"/>
      <c r="E8" s="1256"/>
      <c r="F8" s="1256"/>
      <c r="G8" s="1256"/>
      <c r="H8" s="1256"/>
      <c r="I8" s="1256"/>
      <c r="J8" s="1256"/>
      <c r="K8" s="1256"/>
      <c r="O8" s="114"/>
    </row>
    <row r="9" spans="1:15" ht="12.75">
      <c r="A9" s="122"/>
      <c r="I9" s="46"/>
      <c r="J9" s="46"/>
      <c r="O9" s="114"/>
    </row>
    <row r="10" spans="1:15" ht="12.75" customHeight="1">
      <c r="A10" s="41" t="s">
        <v>690</v>
      </c>
      <c r="B10" s="107"/>
      <c r="C10" s="115"/>
      <c r="D10" s="205"/>
      <c r="E10" s="1258" t="str">
        <f>"Balance @ December 31, "&amp;TCOS!L2&amp;""</f>
        <v>Balance @ December 31, 2017</v>
      </c>
      <c r="F10" s="205"/>
      <c r="G10" s="1258" t="str">
        <f>"Balance @ December 31, "&amp;TCOS!L2-1&amp;""</f>
        <v>Balance @ December 31, 2016</v>
      </c>
      <c r="H10" s="244"/>
      <c r="I10" s="1260" t="str">
        <f>"Average Balance for "&amp;TCOS!L2&amp;""</f>
        <v>Average Balance for 2017</v>
      </c>
      <c r="J10" s="134"/>
      <c r="K10" s="110"/>
      <c r="L10" s="116"/>
      <c r="M10" s="110"/>
      <c r="N10" s="110"/>
      <c r="O10" s="114"/>
    </row>
    <row r="11" spans="1:14" ht="12.75">
      <c r="A11" s="41" t="s">
        <v>628</v>
      </c>
      <c r="B11" s="111"/>
      <c r="C11" s="107"/>
      <c r="D11" s="206" t="s">
        <v>749</v>
      </c>
      <c r="E11" s="1259"/>
      <c r="F11" s="207"/>
      <c r="G11" s="1259"/>
      <c r="H11" s="208"/>
      <c r="I11" s="1261"/>
      <c r="J11" s="134"/>
      <c r="K11" s="117"/>
      <c r="L11" s="118"/>
      <c r="M11" s="108"/>
      <c r="N11" s="108"/>
    </row>
    <row r="12" spans="1:14" ht="12.75">
      <c r="A12" s="111"/>
      <c r="B12" s="111"/>
      <c r="C12" s="107"/>
      <c r="D12" s="113"/>
      <c r="E12" s="106"/>
      <c r="F12" s="106"/>
      <c r="G12" s="222"/>
      <c r="H12" s="112"/>
      <c r="J12" s="46"/>
      <c r="K12" s="117"/>
      <c r="L12" s="118"/>
      <c r="M12" s="108"/>
      <c r="N12" s="108"/>
    </row>
    <row r="13" spans="1:14" ht="12.75">
      <c r="A13" s="111">
        <v>1</v>
      </c>
      <c r="B13" s="111"/>
      <c r="D13" s="95"/>
      <c r="E13" s="62"/>
      <c r="F13" s="62"/>
      <c r="G13" s="62"/>
      <c r="H13" s="62"/>
      <c r="I13" s="62"/>
      <c r="K13" s="62"/>
      <c r="L13" s="62"/>
      <c r="M13" s="108"/>
      <c r="N13" s="108"/>
    </row>
    <row r="14" spans="1:14" ht="12.75">
      <c r="A14" s="111"/>
      <c r="B14" s="111"/>
      <c r="C14" s="95"/>
      <c r="D14" s="95"/>
      <c r="E14" s="62"/>
      <c r="F14" s="62"/>
      <c r="G14" s="62"/>
      <c r="H14" s="62"/>
      <c r="I14" s="62"/>
      <c r="K14" s="62"/>
      <c r="L14" s="62"/>
      <c r="M14" s="108"/>
      <c r="N14" s="108"/>
    </row>
    <row r="15" spans="1:14" ht="12.75">
      <c r="A15" s="111">
        <f>+A13+1</f>
        <v>2</v>
      </c>
      <c r="B15" s="111"/>
      <c r="C15" s="95" t="s">
        <v>480</v>
      </c>
      <c r="D15" s="109" t="s">
        <v>296</v>
      </c>
      <c r="E15" s="627">
        <v>0</v>
      </c>
      <c r="F15" s="62"/>
      <c r="G15" s="627">
        <v>0</v>
      </c>
      <c r="H15" s="62"/>
      <c r="I15" s="157">
        <f>IF(G15="",0,(E15+G15)/2)</f>
        <v>0</v>
      </c>
      <c r="J15"/>
      <c r="K15" s="157"/>
      <c r="L15" s="62"/>
      <c r="M15" s="108"/>
      <c r="N15" s="108"/>
    </row>
    <row r="16" spans="1:14" ht="12.75">
      <c r="A16" s="111"/>
      <c r="B16" s="111"/>
      <c r="C16" s="95"/>
      <c r="D16"/>
      <c r="E16"/>
      <c r="F16"/>
      <c r="G16"/>
      <c r="H16"/>
      <c r="I16" s="35"/>
      <c r="J16"/>
      <c r="K16"/>
      <c r="L16" s="62"/>
      <c r="M16" s="108"/>
      <c r="N16" s="108"/>
    </row>
    <row r="17" spans="1:14" ht="12.75">
      <c r="A17" s="111">
        <f>+A15+1</f>
        <v>3</v>
      </c>
      <c r="B17" s="111"/>
      <c r="C17" s="95" t="s">
        <v>481</v>
      </c>
      <c r="D17" s="109" t="s">
        <v>297</v>
      </c>
      <c r="E17" s="627">
        <v>0</v>
      </c>
      <c r="F17" s="106"/>
      <c r="G17" s="627">
        <v>0</v>
      </c>
      <c r="H17" s="112"/>
      <c r="I17" s="157">
        <f>IF(G17="",0,(E17+G17)/2)</f>
        <v>0</v>
      </c>
      <c r="J17" s="46"/>
      <c r="K17" s="117"/>
      <c r="L17" s="118"/>
      <c r="M17" s="108"/>
      <c r="N17" s="108"/>
    </row>
    <row r="18" spans="1:14" ht="12.75">
      <c r="A18" s="111"/>
      <c r="B18" s="111"/>
      <c r="C18" s="95"/>
      <c r="D18" s="109"/>
      <c r="E18"/>
      <c r="F18"/>
      <c r="G18"/>
      <c r="H18"/>
      <c r="I18"/>
      <c r="J18"/>
      <c r="K18" s="117"/>
      <c r="L18" s="118"/>
      <c r="M18" s="108"/>
      <c r="N18" s="108"/>
    </row>
    <row r="19" spans="1:14" ht="12.75">
      <c r="A19" s="111">
        <f>+A17+1</f>
        <v>4</v>
      </c>
      <c r="B19" s="111"/>
      <c r="C19" s="95" t="s">
        <v>482</v>
      </c>
      <c r="D19" s="109" t="s">
        <v>298</v>
      </c>
      <c r="E19" s="627">
        <v>0</v>
      </c>
      <c r="F19" s="106"/>
      <c r="G19" s="627">
        <v>0</v>
      </c>
      <c r="H19" s="112"/>
      <c r="I19" s="157">
        <f>IF(G19="",0,(E19+G19)/2)</f>
        <v>0</v>
      </c>
      <c r="J19" s="46"/>
      <c r="K19" s="117"/>
      <c r="L19" s="118"/>
      <c r="M19" s="108"/>
      <c r="N19" s="108"/>
    </row>
    <row r="20" spans="1:14" ht="12.75">
      <c r="A20" s="111"/>
      <c r="B20" s="111"/>
      <c r="C20" s="107"/>
      <c r="D20" s="113"/>
      <c r="E20" s="106"/>
      <c r="F20" s="106"/>
      <c r="G20" s="114"/>
      <c r="H20" s="112"/>
      <c r="I20" s="114"/>
      <c r="J20" s="46"/>
      <c r="K20" s="117"/>
      <c r="L20" s="118"/>
      <c r="M20" s="108"/>
      <c r="N20" s="108"/>
    </row>
    <row r="21" spans="1:14" ht="12.75">
      <c r="A21" s="195"/>
      <c r="B21" s="195"/>
      <c r="C21" s="196"/>
      <c r="D21" s="197"/>
      <c r="E21" s="198"/>
      <c r="F21" s="198"/>
      <c r="G21" s="199"/>
      <c r="H21" s="200"/>
      <c r="I21" s="199"/>
      <c r="J21" s="201"/>
      <c r="K21" s="202"/>
      <c r="L21" s="203"/>
      <c r="M21" s="108"/>
      <c r="N21" s="108"/>
    </row>
    <row r="22" spans="1:14" ht="18">
      <c r="A22" s="111"/>
      <c r="B22" s="1256" t="s">
        <v>489</v>
      </c>
      <c r="C22" s="1256"/>
      <c r="D22" s="1256"/>
      <c r="E22" s="1256"/>
      <c r="F22" s="1256"/>
      <c r="G22" s="1256"/>
      <c r="H22" s="1256"/>
      <c r="I22" s="1256"/>
      <c r="J22" s="1256"/>
      <c r="K22" s="1256"/>
      <c r="L22" s="118"/>
      <c r="M22" s="108"/>
      <c r="N22" s="108"/>
    </row>
    <row r="23" spans="1:14" ht="12.75" customHeight="1">
      <c r="A23" s="111"/>
      <c r="B23" s="167"/>
      <c r="C23" s="107"/>
      <c r="D23" s="56"/>
      <c r="E23" s="40"/>
      <c r="F23" s="105"/>
      <c r="G23" s="40" t="s">
        <v>609</v>
      </c>
      <c r="I23" s="38" t="s">
        <v>638</v>
      </c>
      <c r="J23" s="38" t="s">
        <v>638</v>
      </c>
      <c r="K23" s="38" t="s">
        <v>700</v>
      </c>
      <c r="L23" s="118"/>
      <c r="M23" s="108"/>
      <c r="N23" s="108"/>
    </row>
    <row r="24" spans="1:14" ht="12.75" customHeight="1">
      <c r="A24" s="111"/>
      <c r="B24" s="167"/>
      <c r="C24" s="107"/>
      <c r="D24" s="164" t="s">
        <v>433</v>
      </c>
      <c r="E24" s="38" t="s">
        <v>488</v>
      </c>
      <c r="F24" s="105"/>
      <c r="G24" s="38" t="s">
        <v>638</v>
      </c>
      <c r="I24" s="38" t="s">
        <v>459</v>
      </c>
      <c r="J24" s="38" t="s">
        <v>682</v>
      </c>
      <c r="K24" s="38" t="s">
        <v>701</v>
      </c>
      <c r="L24" s="118"/>
      <c r="M24" s="108"/>
      <c r="N24" s="108"/>
    </row>
    <row r="25" spans="1:14" ht="12.75" customHeight="1">
      <c r="A25" s="111">
        <f>+A19+1</f>
        <v>5</v>
      </c>
      <c r="B25" s="167"/>
      <c r="C25" s="107"/>
      <c r="D25" s="42" t="s">
        <v>610</v>
      </c>
      <c r="E25" s="42" t="s">
        <v>434</v>
      </c>
      <c r="F25" s="105"/>
      <c r="G25" s="42" t="s">
        <v>460</v>
      </c>
      <c r="I25" s="42" t="s">
        <v>460</v>
      </c>
      <c r="J25" s="42" t="s">
        <v>460</v>
      </c>
      <c r="K25" s="42" t="s">
        <v>461</v>
      </c>
      <c r="L25" s="118"/>
      <c r="M25" s="108"/>
      <c r="N25" s="108"/>
    </row>
    <row r="26" spans="1:14" ht="12.75">
      <c r="A26" s="111"/>
      <c r="B26" s="111"/>
      <c r="C26" s="107"/>
      <c r="D26" s="113"/>
      <c r="E26" s="106"/>
      <c r="F26" s="106"/>
      <c r="G26" s="114"/>
      <c r="H26" s="112"/>
      <c r="I26" s="114"/>
      <c r="J26" s="46"/>
      <c r="K26" s="223"/>
      <c r="L26" s="118"/>
      <c r="M26" s="108"/>
      <c r="N26" s="108"/>
    </row>
    <row r="27" spans="1:14" ht="12.75">
      <c r="A27" s="111">
        <f>+A25+1</f>
        <v>6</v>
      </c>
      <c r="B27" s="111"/>
      <c r="C27" s="105" t="str">
        <f>"Totals as of December 31, "&amp;TCOS!L2&amp;""</f>
        <v>Totals as of December 31, 2017</v>
      </c>
      <c r="D27" s="168">
        <f>ROUND(D53,0)</f>
        <v>0</v>
      </c>
      <c r="E27" s="229">
        <f>ROUND(E53,0)</f>
        <v>0</v>
      </c>
      <c r="F27" s="169"/>
      <c r="G27" s="168">
        <f>ROUND(G53,0)</f>
        <v>0</v>
      </c>
      <c r="H27" s="112"/>
      <c r="I27" s="168">
        <f>ROUND(I53,0)</f>
        <v>0</v>
      </c>
      <c r="J27" s="170">
        <f>+J53</f>
        <v>0</v>
      </c>
      <c r="K27" s="168">
        <f>ROUND(K53,0)</f>
        <v>0</v>
      </c>
      <c r="L27" s="118"/>
      <c r="M27" s="108"/>
      <c r="N27" s="108"/>
    </row>
    <row r="28" spans="1:14" ht="12.75">
      <c r="A28" s="111">
        <f>+A27+1</f>
        <v>7</v>
      </c>
      <c r="B28" s="111"/>
      <c r="C28" s="105" t="str">
        <f>"Totals as of December 31, "&amp;(TCOS!L2-1)&amp;""</f>
        <v>Totals as of December 31, 2016</v>
      </c>
      <c r="D28" s="173">
        <f>ROUND(D77,0)</f>
        <v>0</v>
      </c>
      <c r="E28" s="230">
        <f>ROUND(E77,0)</f>
        <v>0</v>
      </c>
      <c r="F28" s="106"/>
      <c r="G28" s="173">
        <f>ROUND(G77,0)</f>
        <v>0</v>
      </c>
      <c r="H28" s="112"/>
      <c r="I28" s="173">
        <f>ROUND(I77,0)</f>
        <v>0</v>
      </c>
      <c r="J28" s="173">
        <f>+J77</f>
        <v>0</v>
      </c>
      <c r="K28" s="173">
        <f>ROUND(K77,0)</f>
        <v>0</v>
      </c>
      <c r="L28" s="118"/>
      <c r="M28" s="108"/>
      <c r="N28" s="108"/>
    </row>
    <row r="29" spans="1:14" ht="13.5" thickBot="1">
      <c r="A29" s="111">
        <f>+A28+1</f>
        <v>8</v>
      </c>
      <c r="B29" s="111"/>
      <c r="C29" s="130" t="s">
        <v>760</v>
      </c>
      <c r="D29" s="174">
        <f>IF(D28="",0,(D27+D28)/2)</f>
        <v>0</v>
      </c>
      <c r="E29" s="174">
        <f>IF(E28="",0,(E27+E28)/2)</f>
        <v>0</v>
      </c>
      <c r="F29" s="175"/>
      <c r="G29" s="174">
        <f>IF(G28="",0,(G27+G28)/2)</f>
        <v>0</v>
      </c>
      <c r="H29" s="124"/>
      <c r="I29" s="174">
        <f>IF(I28="",0,(I27+I28)/2)</f>
        <v>0</v>
      </c>
      <c r="J29" s="174">
        <f>IF(J28="",0,(J27+J28)/2)</f>
        <v>0</v>
      </c>
      <c r="K29" s="174">
        <f>IF(K28="",0,(K27+K28)/2)</f>
        <v>0</v>
      </c>
      <c r="L29" s="118"/>
      <c r="M29" s="108"/>
      <c r="N29" s="108"/>
    </row>
    <row r="30" spans="1:14" ht="13.5" thickTop="1">
      <c r="A30" s="111"/>
      <c r="B30" s="111"/>
      <c r="D30" s="113"/>
      <c r="E30" s="106"/>
      <c r="F30" s="106"/>
      <c r="G30" s="114"/>
      <c r="H30" s="112"/>
      <c r="I30" s="114"/>
      <c r="J30" s="46"/>
      <c r="K30" s="117"/>
      <c r="L30" s="118"/>
      <c r="M30" s="108"/>
      <c r="N30" s="108"/>
    </row>
    <row r="31" spans="1:14" ht="12.75">
      <c r="A31" s="105"/>
      <c r="E31" s="105"/>
      <c r="F31" s="105"/>
      <c r="J31" s="46"/>
      <c r="K31" s="117"/>
      <c r="L31" s="118"/>
      <c r="M31" s="108"/>
      <c r="N31" s="108"/>
    </row>
    <row r="32" spans="1:14" ht="18">
      <c r="A32" s="111"/>
      <c r="B32" s="1257" t="str">
        <f>"Prepayments Account 165 - Balance @ 12/31/"&amp;D34&amp;""</f>
        <v>Prepayments Account 165 - Balance @ 12/31/2017</v>
      </c>
      <c r="C32" s="1262"/>
      <c r="D32" s="1262"/>
      <c r="E32" s="1262"/>
      <c r="F32" s="1262"/>
      <c r="G32" s="1262"/>
      <c r="H32" s="1262"/>
      <c r="I32" s="1262"/>
      <c r="J32" s="1262"/>
      <c r="K32" s="117"/>
      <c r="L32" s="118"/>
      <c r="M32" s="108"/>
      <c r="N32" s="108"/>
    </row>
    <row r="33" spans="1:14" ht="12.75">
      <c r="A33" s="111"/>
      <c r="B33" s="160"/>
      <c r="C33" s="162"/>
      <c r="D33" s="56"/>
      <c r="E33" s="40"/>
      <c r="F33" s="105"/>
      <c r="G33" s="40" t="s">
        <v>609</v>
      </c>
      <c r="I33" s="38" t="s">
        <v>638</v>
      </c>
      <c r="J33" s="38" t="s">
        <v>638</v>
      </c>
      <c r="K33" s="38" t="s">
        <v>700</v>
      </c>
      <c r="L33"/>
      <c r="M33" s="108"/>
      <c r="N33" s="108"/>
    </row>
    <row r="34" spans="1:14" ht="12.75">
      <c r="A34" s="111"/>
      <c r="B34" s="160"/>
      <c r="C34" s="163"/>
      <c r="D34" s="164" t="str">
        <f>""&amp;TCOS!L2</f>
        <v>2017</v>
      </c>
      <c r="E34" s="38" t="s">
        <v>488</v>
      </c>
      <c r="F34" s="105"/>
      <c r="G34" s="38" t="s">
        <v>638</v>
      </c>
      <c r="I34" s="38" t="s">
        <v>459</v>
      </c>
      <c r="J34" s="38" t="s">
        <v>682</v>
      </c>
      <c r="K34" s="38" t="s">
        <v>701</v>
      </c>
      <c r="L34"/>
      <c r="M34" s="108"/>
      <c r="N34" s="108"/>
    </row>
    <row r="35" spans="1:14" ht="12.75">
      <c r="A35" s="111">
        <f>+A29+1</f>
        <v>9</v>
      </c>
      <c r="B35" s="42" t="s">
        <v>612</v>
      </c>
      <c r="C35" s="42" t="s">
        <v>688</v>
      </c>
      <c r="D35" s="42" t="s">
        <v>610</v>
      </c>
      <c r="E35" s="42" t="s">
        <v>434</v>
      </c>
      <c r="F35" s="105"/>
      <c r="G35" s="42" t="s">
        <v>460</v>
      </c>
      <c r="I35" s="42" t="s">
        <v>460</v>
      </c>
      <c r="J35" s="42" t="s">
        <v>460</v>
      </c>
      <c r="K35" s="42" t="s">
        <v>461</v>
      </c>
      <c r="L35" s="42" t="s">
        <v>592</v>
      </c>
      <c r="M35" s="108"/>
      <c r="N35" s="108"/>
    </row>
    <row r="36" spans="1:14" ht="12.75">
      <c r="A36" s="111"/>
      <c r="B36" s="160"/>
      <c r="C36" s="162"/>
      <c r="D36" s="162"/>
      <c r="E36" s="162"/>
      <c r="F36" s="105"/>
      <c r="G36" s="162"/>
      <c r="I36" s="162"/>
      <c r="J36" s="162"/>
      <c r="K36" s="223"/>
      <c r="L36"/>
      <c r="M36" s="108"/>
      <c r="N36" s="108"/>
    </row>
    <row r="37" spans="1:14" ht="14.25">
      <c r="A37" s="111">
        <f>+A35+1</f>
        <v>10</v>
      </c>
      <c r="B37" s="1173" t="s">
        <v>462</v>
      </c>
      <c r="C37" s="1177" t="s">
        <v>463</v>
      </c>
      <c r="D37" s="627">
        <v>0</v>
      </c>
      <c r="E37" s="133">
        <f aca="true" t="shared" si="0" ref="E37:E51">+D37-K37</f>
        <v>0</v>
      </c>
      <c r="F37" s="105"/>
      <c r="G37" s="136"/>
      <c r="I37" s="136">
        <f>+D37</f>
        <v>0</v>
      </c>
      <c r="J37" s="136"/>
      <c r="K37" s="136">
        <f>+G37+I37+J37</f>
        <v>0</v>
      </c>
      <c r="L37" s="52" t="s">
        <v>637</v>
      </c>
      <c r="M37" s="108"/>
      <c r="N37" s="108"/>
    </row>
    <row r="38" spans="1:14" ht="14.25">
      <c r="A38" s="111">
        <f>+A37+1</f>
        <v>11</v>
      </c>
      <c r="B38" s="1174">
        <v>1650021</v>
      </c>
      <c r="C38" s="1178" t="s">
        <v>372</v>
      </c>
      <c r="D38" s="627">
        <v>0</v>
      </c>
      <c r="E38" s="133">
        <f t="shared" si="0"/>
        <v>0</v>
      </c>
      <c r="F38" s="105"/>
      <c r="G38" s="136"/>
      <c r="I38" s="136">
        <f>+D38</f>
        <v>0</v>
      </c>
      <c r="J38" s="136"/>
      <c r="K38" s="136">
        <f aca="true" t="shared" si="1" ref="K38:K51">+G38+I38+J38</f>
        <v>0</v>
      </c>
      <c r="L38" t="s">
        <v>637</v>
      </c>
      <c r="M38" s="108"/>
      <c r="N38" s="108"/>
    </row>
    <row r="39" spans="1:14" ht="14.25">
      <c r="A39" s="111">
        <f aca="true" t="shared" si="2" ref="A39:A51">+A38+1</f>
        <v>12</v>
      </c>
      <c r="B39" s="1174">
        <v>1650023</v>
      </c>
      <c r="C39" s="1178" t="s">
        <v>373</v>
      </c>
      <c r="D39" s="627">
        <v>0</v>
      </c>
      <c r="E39" s="133">
        <f t="shared" si="0"/>
        <v>0</v>
      </c>
      <c r="F39" s="105"/>
      <c r="G39" s="136"/>
      <c r="I39" s="136">
        <f>+D39</f>
        <v>0</v>
      </c>
      <c r="J39" s="136"/>
      <c r="K39" s="136">
        <f t="shared" si="1"/>
        <v>0</v>
      </c>
      <c r="L39" t="s">
        <v>637</v>
      </c>
      <c r="M39" s="108"/>
      <c r="N39" s="108"/>
    </row>
    <row r="40" spans="1:14" ht="14.25">
      <c r="A40" s="111">
        <f t="shared" si="2"/>
        <v>13</v>
      </c>
      <c r="B40" s="1175" t="s">
        <v>484</v>
      </c>
      <c r="C40" s="1178" t="s">
        <v>485</v>
      </c>
      <c r="D40" s="627">
        <v>0</v>
      </c>
      <c r="E40" s="133">
        <f t="shared" si="0"/>
        <v>0</v>
      </c>
      <c r="F40" s="105"/>
      <c r="G40" s="136"/>
      <c r="I40" s="136">
        <f aca="true" t="shared" si="3" ref="I40:I47">+D40</f>
        <v>0</v>
      </c>
      <c r="J40" s="136"/>
      <c r="K40" s="136">
        <f t="shared" si="1"/>
        <v>0</v>
      </c>
      <c r="L40" t="s">
        <v>637</v>
      </c>
      <c r="M40" s="108"/>
      <c r="N40" s="108"/>
    </row>
    <row r="41" spans="1:14" ht="14.25">
      <c r="A41" s="111">
        <f t="shared" si="2"/>
        <v>14</v>
      </c>
      <c r="B41" s="1175" t="s">
        <v>464</v>
      </c>
      <c r="C41" s="1178" t="s">
        <v>465</v>
      </c>
      <c r="D41" s="627">
        <v>0</v>
      </c>
      <c r="E41" s="133">
        <f t="shared" si="0"/>
        <v>0</v>
      </c>
      <c r="F41" s="105"/>
      <c r="G41" s="136"/>
      <c r="I41" s="136">
        <f t="shared" si="3"/>
        <v>0</v>
      </c>
      <c r="J41" s="136"/>
      <c r="K41" s="136">
        <f t="shared" si="1"/>
        <v>0</v>
      </c>
      <c r="L41"/>
      <c r="M41" s="108"/>
      <c r="N41" s="108"/>
    </row>
    <row r="42" spans="1:14" ht="14.25">
      <c r="A42" s="111">
        <f t="shared" si="2"/>
        <v>15</v>
      </c>
      <c r="B42" s="1175" t="s">
        <v>466</v>
      </c>
      <c r="C42" s="1178" t="s">
        <v>467</v>
      </c>
      <c r="D42" s="627">
        <v>0</v>
      </c>
      <c r="E42" s="133">
        <f t="shared" si="0"/>
        <v>0</v>
      </c>
      <c r="F42" s="105"/>
      <c r="G42" s="136"/>
      <c r="I42" s="136">
        <f t="shared" si="3"/>
        <v>0</v>
      </c>
      <c r="J42" s="136"/>
      <c r="K42" s="136">
        <f t="shared" si="1"/>
        <v>0</v>
      </c>
      <c r="L42" s="52"/>
      <c r="M42" s="108"/>
      <c r="N42" s="108"/>
    </row>
    <row r="43" spans="1:14" ht="14.25">
      <c r="A43" s="111">
        <f t="shared" si="2"/>
        <v>16</v>
      </c>
      <c r="B43" s="1175" t="s">
        <v>468</v>
      </c>
      <c r="C43" s="1178" t="s">
        <v>469</v>
      </c>
      <c r="D43" s="627">
        <v>0</v>
      </c>
      <c r="E43" s="133">
        <f t="shared" si="0"/>
        <v>0</v>
      </c>
      <c r="F43" s="105"/>
      <c r="G43" s="159"/>
      <c r="I43" s="136">
        <f t="shared" si="3"/>
        <v>0</v>
      </c>
      <c r="J43" s="159"/>
      <c r="K43" s="159">
        <f t="shared" si="1"/>
        <v>0</v>
      </c>
      <c r="L43" s="52"/>
      <c r="M43" s="108"/>
      <c r="N43" s="108"/>
    </row>
    <row r="44" spans="1:14" ht="14.25">
      <c r="A44" s="111">
        <f t="shared" si="2"/>
        <v>17</v>
      </c>
      <c r="B44" s="1175" t="s">
        <v>470</v>
      </c>
      <c r="C44" s="1178" t="s">
        <v>475</v>
      </c>
      <c r="D44" s="627">
        <v>0</v>
      </c>
      <c r="E44" s="133">
        <f t="shared" si="0"/>
        <v>0</v>
      </c>
      <c r="F44" s="105"/>
      <c r="G44" s="136"/>
      <c r="I44" s="136">
        <f t="shared" si="3"/>
        <v>0</v>
      </c>
      <c r="J44" s="136"/>
      <c r="K44" s="159">
        <f t="shared" si="1"/>
        <v>0</v>
      </c>
      <c r="L44" s="52" t="s">
        <v>637</v>
      </c>
      <c r="M44" s="108"/>
      <c r="N44" s="108"/>
    </row>
    <row r="45" spans="1:14" ht="14.25">
      <c r="A45" s="111">
        <f t="shared" si="2"/>
        <v>18</v>
      </c>
      <c r="B45" s="1175" t="s">
        <v>476</v>
      </c>
      <c r="C45" s="1178" t="s">
        <v>477</v>
      </c>
      <c r="D45" s="627">
        <v>0</v>
      </c>
      <c r="E45" s="133">
        <f t="shared" si="0"/>
        <v>0</v>
      </c>
      <c r="F45" s="105"/>
      <c r="G45" s="136"/>
      <c r="I45" s="136">
        <f t="shared" si="3"/>
        <v>0</v>
      </c>
      <c r="J45" s="136"/>
      <c r="K45" s="159">
        <f t="shared" si="1"/>
        <v>0</v>
      </c>
      <c r="L45" s="35" t="s">
        <v>637</v>
      </c>
      <c r="M45" s="108"/>
      <c r="N45" s="108"/>
    </row>
    <row r="46" spans="1:14" ht="14.25">
      <c r="A46" s="111">
        <f t="shared" si="2"/>
        <v>19</v>
      </c>
      <c r="B46" s="1175" t="s">
        <v>478</v>
      </c>
      <c r="C46" s="1178" t="s">
        <v>479</v>
      </c>
      <c r="D46" s="627">
        <v>0</v>
      </c>
      <c r="E46" s="133">
        <f t="shared" si="0"/>
        <v>0</v>
      </c>
      <c r="F46" s="105"/>
      <c r="G46" s="136"/>
      <c r="I46" s="136">
        <f t="shared" si="3"/>
        <v>0</v>
      </c>
      <c r="J46" s="136"/>
      <c r="K46" s="159">
        <f t="shared" si="1"/>
        <v>0</v>
      </c>
      <c r="L46" s="52" t="s">
        <v>637</v>
      </c>
      <c r="M46" s="108"/>
      <c r="N46" s="108"/>
    </row>
    <row r="47" spans="1:14" ht="14.25">
      <c r="A47" s="111">
        <f t="shared" si="2"/>
        <v>20</v>
      </c>
      <c r="B47" s="1175" t="s">
        <v>486</v>
      </c>
      <c r="C47" s="1178" t="s">
        <v>487</v>
      </c>
      <c r="D47" s="627">
        <v>0</v>
      </c>
      <c r="E47" s="133">
        <f t="shared" si="0"/>
        <v>0</v>
      </c>
      <c r="F47" s="105"/>
      <c r="G47" s="136"/>
      <c r="I47" s="136">
        <f t="shared" si="3"/>
        <v>0</v>
      </c>
      <c r="J47" s="218"/>
      <c r="K47" s="159">
        <f>+G47+I47+J47</f>
        <v>0</v>
      </c>
      <c r="L47" s="52" t="s">
        <v>637</v>
      </c>
      <c r="M47" s="108"/>
      <c r="N47" s="108"/>
    </row>
    <row r="48" spans="1:14" ht="14.25">
      <c r="A48" s="111">
        <f t="shared" si="2"/>
        <v>21</v>
      </c>
      <c r="B48" s="1176" t="s">
        <v>828</v>
      </c>
      <c r="C48" s="1178" t="s">
        <v>830</v>
      </c>
      <c r="D48" s="627">
        <v>0</v>
      </c>
      <c r="E48" s="133">
        <f t="shared" si="0"/>
        <v>0</v>
      </c>
      <c r="F48" s="105"/>
      <c r="G48" s="136"/>
      <c r="I48" s="136"/>
      <c r="J48" s="218">
        <f>D48</f>
        <v>0</v>
      </c>
      <c r="K48" s="159">
        <f>+G48+I48+J48</f>
        <v>0</v>
      </c>
      <c r="L48" s="52" t="s">
        <v>637</v>
      </c>
      <c r="M48" s="108"/>
      <c r="N48" s="108"/>
    </row>
    <row r="49" spans="1:14" ht="14.25">
      <c r="A49" s="111">
        <f t="shared" si="2"/>
        <v>22</v>
      </c>
      <c r="B49" s="1176" t="s">
        <v>833</v>
      </c>
      <c r="C49" s="1178" t="s">
        <v>835</v>
      </c>
      <c r="D49" s="627">
        <v>0</v>
      </c>
      <c r="E49" s="133">
        <f t="shared" si="0"/>
        <v>0</v>
      </c>
      <c r="F49" s="105"/>
      <c r="G49" s="136"/>
      <c r="I49" s="136"/>
      <c r="J49" s="218">
        <f>D49</f>
        <v>0</v>
      </c>
      <c r="K49" s="159">
        <f>+G49+I49+J49</f>
        <v>0</v>
      </c>
      <c r="L49" s="52" t="s">
        <v>637</v>
      </c>
      <c r="M49" s="108"/>
      <c r="N49" s="108"/>
    </row>
    <row r="50" spans="1:14" ht="14.25">
      <c r="A50" s="111">
        <f t="shared" si="2"/>
        <v>23</v>
      </c>
      <c r="B50" s="1176" t="s">
        <v>829</v>
      </c>
      <c r="C50" s="1178" t="s">
        <v>831</v>
      </c>
      <c r="D50" s="627">
        <v>0</v>
      </c>
      <c r="E50" s="133">
        <f t="shared" si="0"/>
        <v>0</v>
      </c>
      <c r="F50" s="105"/>
      <c r="G50" s="136"/>
      <c r="I50" s="136"/>
      <c r="J50" s="218">
        <f>D50</f>
        <v>0</v>
      </c>
      <c r="K50" s="159">
        <f>+G50+I50+J50</f>
        <v>0</v>
      </c>
      <c r="L50" s="52" t="s">
        <v>637</v>
      </c>
      <c r="M50" s="108"/>
      <c r="N50" s="108"/>
    </row>
    <row r="51" spans="1:14" ht="14.25">
      <c r="A51" s="111">
        <f t="shared" si="2"/>
        <v>24</v>
      </c>
      <c r="B51" s="1176" t="s">
        <v>834</v>
      </c>
      <c r="C51" s="1178" t="s">
        <v>836</v>
      </c>
      <c r="D51" s="627">
        <v>0</v>
      </c>
      <c r="E51" s="133">
        <f t="shared" si="0"/>
        <v>0</v>
      </c>
      <c r="F51" s="105"/>
      <c r="G51" s="136"/>
      <c r="I51" s="136"/>
      <c r="J51" s="218">
        <f>D51</f>
        <v>0</v>
      </c>
      <c r="K51" s="159">
        <f t="shared" si="1"/>
        <v>0</v>
      </c>
      <c r="L51" s="52" t="s">
        <v>637</v>
      </c>
      <c r="M51" s="108"/>
      <c r="N51" s="108"/>
    </row>
    <row r="52" spans="1:14" ht="13.5" thickBot="1">
      <c r="A52" s="111"/>
      <c r="B52" s="58"/>
      <c r="C52" s="58"/>
      <c r="D52" s="159"/>
      <c r="E52" s="133"/>
      <c r="F52" s="105"/>
      <c r="G52" s="136"/>
      <c r="I52" s="136"/>
      <c r="J52" s="136"/>
      <c r="K52" s="136"/>
      <c r="L52"/>
      <c r="M52" s="108"/>
      <c r="N52" s="108"/>
    </row>
    <row r="53" spans="1:14" ht="12.75">
      <c r="A53" s="111"/>
      <c r="B53" s="160"/>
      <c r="C53" s="65" t="s">
        <v>435</v>
      </c>
      <c r="D53" s="165">
        <f>SUM(D37:D52)</f>
        <v>0</v>
      </c>
      <c r="E53" s="228">
        <f>SUM(E37:E52)</f>
        <v>0</v>
      </c>
      <c r="F53" s="105"/>
      <c r="G53" s="165">
        <f>SUM(G37:G52)</f>
        <v>0</v>
      </c>
      <c r="I53" s="165">
        <f>SUM(I37:I52)</f>
        <v>0</v>
      </c>
      <c r="J53" s="165">
        <f>SUM(J37:J52)</f>
        <v>0</v>
      </c>
      <c r="K53" s="165">
        <f>SUM(K37:K52)</f>
        <v>0</v>
      </c>
      <c r="L53"/>
      <c r="M53" s="108"/>
      <c r="N53" s="108"/>
    </row>
    <row r="54" spans="1:14" ht="12.75">
      <c r="A54" s="111"/>
      <c r="D54" s="303" t="s">
        <v>637</v>
      </c>
      <c r="K54" s="166"/>
      <c r="L54"/>
      <c r="M54" s="108"/>
      <c r="N54" s="108"/>
    </row>
    <row r="55" spans="1:15" ht="12.75">
      <c r="A55" s="111"/>
      <c r="B55"/>
      <c r="C55"/>
      <c r="D55"/>
      <c r="E55"/>
      <c r="F55"/>
      <c r="G55"/>
      <c r="H55"/>
      <c r="I55"/>
      <c r="J55"/>
      <c r="K55"/>
      <c r="L55"/>
      <c r="M55"/>
      <c r="N55"/>
      <c r="O55"/>
    </row>
    <row r="56" spans="1:15" ht="18">
      <c r="A56" s="111"/>
      <c r="B56" s="1257" t="str">
        <f>"Prepayments Account 165 - Balance @ 12/31/ "&amp;D58&amp;""</f>
        <v>Prepayments Account 165 - Balance @ 12/31/ 2016</v>
      </c>
      <c r="C56" s="1257"/>
      <c r="D56" s="1257"/>
      <c r="E56" s="1257"/>
      <c r="F56" s="1257"/>
      <c r="G56" s="1257"/>
      <c r="H56" s="1257"/>
      <c r="I56" s="1257"/>
      <c r="J56" s="1257"/>
      <c r="K56" s="117"/>
      <c r="L56" s="118"/>
      <c r="M56" s="108"/>
      <c r="N56"/>
      <c r="O56"/>
    </row>
    <row r="57" spans="1:15" ht="12.75">
      <c r="A57" s="111"/>
      <c r="B57" s="238"/>
      <c r="C57" s="239"/>
      <c r="D57" s="240"/>
      <c r="E57" s="40"/>
      <c r="F57" s="105"/>
      <c r="G57" s="40" t="s">
        <v>609</v>
      </c>
      <c r="I57" s="38" t="s">
        <v>638</v>
      </c>
      <c r="J57" s="38" t="s">
        <v>638</v>
      </c>
      <c r="K57" s="38" t="s">
        <v>700</v>
      </c>
      <c r="L57"/>
      <c r="M57" s="108"/>
      <c r="N57"/>
      <c r="O57"/>
    </row>
    <row r="58" spans="1:15" ht="12.75">
      <c r="A58" s="111"/>
      <c r="B58" s="238"/>
      <c r="C58" s="241"/>
      <c r="D58" s="38" t="str">
        <f>""&amp;TCOS!L2-1&amp;""</f>
        <v>2016</v>
      </c>
      <c r="E58" s="38" t="s">
        <v>488</v>
      </c>
      <c r="F58" s="105"/>
      <c r="G58" s="38" t="s">
        <v>638</v>
      </c>
      <c r="I58" s="38" t="s">
        <v>459</v>
      </c>
      <c r="J58" s="38" t="s">
        <v>682</v>
      </c>
      <c r="K58" s="38" t="s">
        <v>701</v>
      </c>
      <c r="L58"/>
      <c r="M58" s="108"/>
      <c r="N58"/>
      <c r="O58"/>
    </row>
    <row r="59" spans="1:15" ht="12.75">
      <c r="A59" s="111">
        <f>A51+1</f>
        <v>25</v>
      </c>
      <c r="B59" s="42" t="s">
        <v>612</v>
      </c>
      <c r="C59" s="42" t="s">
        <v>688</v>
      </c>
      <c r="D59" s="42" t="s">
        <v>610</v>
      </c>
      <c r="E59" s="42" t="s">
        <v>434</v>
      </c>
      <c r="F59" s="105"/>
      <c r="G59" s="42" t="s">
        <v>460</v>
      </c>
      <c r="I59" s="42" t="s">
        <v>460</v>
      </c>
      <c r="J59" s="42" t="s">
        <v>460</v>
      </c>
      <c r="K59" s="42" t="s">
        <v>461</v>
      </c>
      <c r="L59" s="42" t="s">
        <v>592</v>
      </c>
      <c r="M59" s="108"/>
      <c r="N59"/>
      <c r="O59"/>
    </row>
    <row r="60" spans="1:15" ht="12.75">
      <c r="A60" s="111"/>
      <c r="B60" s="160"/>
      <c r="C60" s="162"/>
      <c r="D60" s="162"/>
      <c r="E60" s="162"/>
      <c r="F60" s="105"/>
      <c r="G60" s="162"/>
      <c r="I60" s="162"/>
      <c r="J60" s="162"/>
      <c r="K60" s="162"/>
      <c r="L60"/>
      <c r="M60" s="108"/>
      <c r="N60"/>
      <c r="O60"/>
    </row>
    <row r="61" spans="1:15" ht="14.25">
      <c r="A61" s="111">
        <f>+A59+1</f>
        <v>26</v>
      </c>
      <c r="B61" s="1176" t="s">
        <v>462</v>
      </c>
      <c r="C61" s="1177" t="s">
        <v>463</v>
      </c>
      <c r="D61" s="627">
        <v>0</v>
      </c>
      <c r="E61"/>
      <c r="F61"/>
      <c r="G61"/>
      <c r="H61"/>
      <c r="I61" s="136">
        <f>+D61</f>
        <v>0</v>
      </c>
      <c r="J61"/>
      <c r="K61" s="136">
        <f aca="true" t="shared" si="4" ref="K61:K75">+G61+I61+J61</f>
        <v>0</v>
      </c>
      <c r="L61" t="s">
        <v>637</v>
      </c>
      <c r="M61" s="108"/>
      <c r="N61"/>
      <c r="O61"/>
    </row>
    <row r="62" spans="1:15" ht="14.25">
      <c r="A62" s="111">
        <f>+A61+1</f>
        <v>27</v>
      </c>
      <c r="B62" s="1188">
        <v>1650021</v>
      </c>
      <c r="C62" s="1178" t="s">
        <v>372</v>
      </c>
      <c r="D62" s="627">
        <v>0</v>
      </c>
      <c r="E62" s="133">
        <f>+D62-K62</f>
        <v>0</v>
      </c>
      <c r="F62" s="105"/>
      <c r="G62" s="136"/>
      <c r="I62" s="136">
        <f>+D62</f>
        <v>0</v>
      </c>
      <c r="J62" s="136"/>
      <c r="K62" s="136">
        <f t="shared" si="4"/>
        <v>0</v>
      </c>
      <c r="L62" t="s">
        <v>637</v>
      </c>
      <c r="M62" s="108"/>
      <c r="N62"/>
      <c r="O62"/>
    </row>
    <row r="63" spans="1:15" ht="14.25">
      <c r="A63" s="111">
        <f aca="true" t="shared" si="5" ref="A63:A75">+A62+1</f>
        <v>28</v>
      </c>
      <c r="B63" s="1188">
        <v>1650023</v>
      </c>
      <c r="C63" s="1178" t="s">
        <v>373</v>
      </c>
      <c r="D63" s="627">
        <v>0</v>
      </c>
      <c r="E63" s="133">
        <f>+D63-K63</f>
        <v>0</v>
      </c>
      <c r="F63" s="105"/>
      <c r="G63" s="136"/>
      <c r="I63" s="136">
        <f>+D63</f>
        <v>0</v>
      </c>
      <c r="J63" s="136"/>
      <c r="K63" s="136">
        <f t="shared" si="4"/>
        <v>0</v>
      </c>
      <c r="L63" t="s">
        <v>637</v>
      </c>
      <c r="M63" s="108"/>
      <c r="N63"/>
      <c r="O63"/>
    </row>
    <row r="64" spans="1:15" ht="14.25">
      <c r="A64" s="111">
        <f t="shared" si="5"/>
        <v>29</v>
      </c>
      <c r="B64" s="1176" t="s">
        <v>484</v>
      </c>
      <c r="C64" s="1178" t="s">
        <v>485</v>
      </c>
      <c r="D64" s="627">
        <v>0</v>
      </c>
      <c r="E64" s="133">
        <f>+D64-K64</f>
        <v>0</v>
      </c>
      <c r="F64" s="105"/>
      <c r="G64" s="136"/>
      <c r="I64" s="136">
        <f aca="true" t="shared" si="6" ref="I64:I71">+D64</f>
        <v>0</v>
      </c>
      <c r="J64" s="136"/>
      <c r="K64" s="136">
        <f t="shared" si="4"/>
        <v>0</v>
      </c>
      <c r="L64" t="s">
        <v>637</v>
      </c>
      <c r="M64" s="108"/>
      <c r="N64"/>
      <c r="O64"/>
    </row>
    <row r="65" spans="1:15" ht="14.25">
      <c r="A65" s="111">
        <f t="shared" si="5"/>
        <v>30</v>
      </c>
      <c r="B65" s="1176" t="s">
        <v>464</v>
      </c>
      <c r="C65" s="1178" t="s">
        <v>465</v>
      </c>
      <c r="D65" s="627">
        <v>0</v>
      </c>
      <c r="E65" s="133">
        <f>+D65-K65</f>
        <v>0</v>
      </c>
      <c r="F65" s="105"/>
      <c r="G65" s="136"/>
      <c r="I65" s="136">
        <f t="shared" si="6"/>
        <v>0</v>
      </c>
      <c r="J65" s="136"/>
      <c r="K65" s="136">
        <f t="shared" si="4"/>
        <v>0</v>
      </c>
      <c r="L65"/>
      <c r="M65" s="108"/>
      <c r="N65"/>
      <c r="O65"/>
    </row>
    <row r="66" spans="1:15" ht="14.25">
      <c r="A66" s="111">
        <f t="shared" si="5"/>
        <v>31</v>
      </c>
      <c r="B66" s="1176" t="s">
        <v>466</v>
      </c>
      <c r="C66" s="1178" t="s">
        <v>467</v>
      </c>
      <c r="D66" s="627">
        <v>0</v>
      </c>
      <c r="E66" s="136">
        <f>+D66-K66</f>
        <v>0</v>
      </c>
      <c r="F66" s="105"/>
      <c r="G66" s="136"/>
      <c r="I66" s="136">
        <f t="shared" si="6"/>
        <v>0</v>
      </c>
      <c r="J66" s="136"/>
      <c r="K66" s="136">
        <f t="shared" si="4"/>
        <v>0</v>
      </c>
      <c r="L66" s="52"/>
      <c r="M66" s="108"/>
      <c r="N66"/>
      <c r="O66"/>
    </row>
    <row r="67" spans="1:15" ht="14.25">
      <c r="A67" s="111">
        <f t="shared" si="5"/>
        <v>32</v>
      </c>
      <c r="B67" s="1176" t="s">
        <v>468</v>
      </c>
      <c r="C67" s="1178" t="s">
        <v>469</v>
      </c>
      <c r="D67" s="627">
        <v>0</v>
      </c>
      <c r="E67" s="159">
        <f>+D67</f>
        <v>0</v>
      </c>
      <c r="F67" s="105"/>
      <c r="G67" s="159"/>
      <c r="I67" s="136">
        <f t="shared" si="6"/>
        <v>0</v>
      </c>
      <c r="J67" s="159"/>
      <c r="K67" s="159">
        <f t="shared" si="4"/>
        <v>0</v>
      </c>
      <c r="L67" s="52"/>
      <c r="M67" s="108"/>
      <c r="N67"/>
      <c r="O67"/>
    </row>
    <row r="68" spans="1:15" ht="14.25">
      <c r="A68" s="111">
        <f t="shared" si="5"/>
        <v>33</v>
      </c>
      <c r="B68" s="1176" t="s">
        <v>470</v>
      </c>
      <c r="C68" s="1178" t="s">
        <v>475</v>
      </c>
      <c r="D68" s="627">
        <v>0</v>
      </c>
      <c r="E68" s="136">
        <f>+D68-K68</f>
        <v>0</v>
      </c>
      <c r="F68" s="105"/>
      <c r="G68" s="136"/>
      <c r="I68" s="136">
        <f t="shared" si="6"/>
        <v>0</v>
      </c>
      <c r="J68" s="136"/>
      <c r="K68" s="159">
        <f t="shared" si="4"/>
        <v>0</v>
      </c>
      <c r="L68" s="52" t="s">
        <v>637</v>
      </c>
      <c r="M68" s="108"/>
      <c r="N68"/>
      <c r="O68"/>
    </row>
    <row r="69" spans="1:15" ht="14.25">
      <c r="A69" s="111">
        <f t="shared" si="5"/>
        <v>34</v>
      </c>
      <c r="B69" s="1176" t="s">
        <v>476</v>
      </c>
      <c r="C69" s="1178" t="s">
        <v>477</v>
      </c>
      <c r="D69" s="627">
        <v>0</v>
      </c>
      <c r="E69" s="136">
        <f>+D69-K69</f>
        <v>0</v>
      </c>
      <c r="F69" s="105"/>
      <c r="G69" s="136"/>
      <c r="I69" s="136">
        <f t="shared" si="6"/>
        <v>0</v>
      </c>
      <c r="J69" s="136"/>
      <c r="K69" s="159">
        <f t="shared" si="4"/>
        <v>0</v>
      </c>
      <c r="L69" s="35" t="s">
        <v>637</v>
      </c>
      <c r="M69" s="108"/>
      <c r="N69"/>
      <c r="O69"/>
    </row>
    <row r="70" spans="1:15" ht="14.25">
      <c r="A70" s="111">
        <f>+A67+1</f>
        <v>33</v>
      </c>
      <c r="B70" s="1176" t="s">
        <v>478</v>
      </c>
      <c r="C70" s="1178" t="s">
        <v>479</v>
      </c>
      <c r="D70" s="627">
        <v>0</v>
      </c>
      <c r="E70" s="136">
        <f>+D70</f>
        <v>0</v>
      </c>
      <c r="F70" s="105"/>
      <c r="G70" s="136"/>
      <c r="I70" s="136">
        <f t="shared" si="6"/>
        <v>0</v>
      </c>
      <c r="J70" s="136"/>
      <c r="K70" s="159">
        <f>+G70+I70+J70</f>
        <v>0</v>
      </c>
      <c r="L70" s="52" t="s">
        <v>637</v>
      </c>
      <c r="M70" s="108"/>
      <c r="N70"/>
      <c r="O70"/>
    </row>
    <row r="71" spans="1:15" ht="14.25">
      <c r="A71" s="111">
        <f t="shared" si="5"/>
        <v>34</v>
      </c>
      <c r="B71" s="1176" t="s">
        <v>486</v>
      </c>
      <c r="C71" s="1178" t="s">
        <v>487</v>
      </c>
      <c r="D71" s="627">
        <v>0</v>
      </c>
      <c r="E71" s="136">
        <f>D71</f>
        <v>0</v>
      </c>
      <c r="F71" s="105"/>
      <c r="G71" s="136"/>
      <c r="I71" s="136">
        <f t="shared" si="6"/>
        <v>0</v>
      </c>
      <c r="J71" s="218"/>
      <c r="K71" s="159">
        <f>+G71+I71+J71</f>
        <v>0</v>
      </c>
      <c r="L71" s="52" t="s">
        <v>637</v>
      </c>
      <c r="M71" s="108"/>
      <c r="N71"/>
      <c r="O71"/>
    </row>
    <row r="72" spans="1:15" ht="14.25">
      <c r="A72" s="111">
        <f t="shared" si="5"/>
        <v>35</v>
      </c>
      <c r="B72" s="1176" t="s">
        <v>828</v>
      </c>
      <c r="C72" s="1178" t="s">
        <v>830</v>
      </c>
      <c r="D72" s="627">
        <v>0</v>
      </c>
      <c r="E72" s="133">
        <f>+D72-K72</f>
        <v>0</v>
      </c>
      <c r="F72" s="105"/>
      <c r="G72" s="136"/>
      <c r="I72" s="136"/>
      <c r="J72" s="218">
        <f>D72</f>
        <v>0</v>
      </c>
      <c r="K72" s="159">
        <f>+G72+I72+J72</f>
        <v>0</v>
      </c>
      <c r="L72" s="52" t="s">
        <v>637</v>
      </c>
      <c r="M72" s="108"/>
      <c r="N72"/>
      <c r="O72"/>
    </row>
    <row r="73" spans="1:15" ht="14.25">
      <c r="A73" s="111">
        <f t="shared" si="5"/>
        <v>36</v>
      </c>
      <c r="B73" s="1176" t="s">
        <v>833</v>
      </c>
      <c r="C73" s="1178" t="s">
        <v>835</v>
      </c>
      <c r="D73" s="627">
        <v>0</v>
      </c>
      <c r="E73" s="133">
        <f>+D73-K73</f>
        <v>0</v>
      </c>
      <c r="F73" s="105"/>
      <c r="G73" s="136"/>
      <c r="I73" s="136"/>
      <c r="J73" s="218">
        <f>D73</f>
        <v>0</v>
      </c>
      <c r="K73" s="159">
        <f>+G73+I73+J73</f>
        <v>0</v>
      </c>
      <c r="L73" s="52" t="s">
        <v>637</v>
      </c>
      <c r="M73" s="108"/>
      <c r="N73"/>
      <c r="O73"/>
    </row>
    <row r="74" spans="1:15" ht="14.25">
      <c r="A74" s="111">
        <f t="shared" si="5"/>
        <v>37</v>
      </c>
      <c r="B74" s="1176" t="s">
        <v>829</v>
      </c>
      <c r="C74" s="1178" t="s">
        <v>831</v>
      </c>
      <c r="D74" s="627">
        <v>0</v>
      </c>
      <c r="E74" s="133">
        <f>+D74-K74</f>
        <v>0</v>
      </c>
      <c r="F74" s="105"/>
      <c r="G74" s="136"/>
      <c r="I74" s="136"/>
      <c r="J74" s="218">
        <f>D74</f>
        <v>0</v>
      </c>
      <c r="K74" s="159">
        <f t="shared" si="4"/>
        <v>0</v>
      </c>
      <c r="L74" s="52" t="s">
        <v>637</v>
      </c>
      <c r="M74" s="108"/>
      <c r="N74"/>
      <c r="O74"/>
    </row>
    <row r="75" spans="1:15" ht="14.25">
      <c r="A75" s="111">
        <f t="shared" si="5"/>
        <v>38</v>
      </c>
      <c r="B75" s="1176" t="s">
        <v>834</v>
      </c>
      <c r="C75" s="1178" t="s">
        <v>836</v>
      </c>
      <c r="D75" s="627">
        <v>0</v>
      </c>
      <c r="E75" s="133">
        <f>+D75-K75</f>
        <v>0</v>
      </c>
      <c r="F75" s="105"/>
      <c r="G75" s="136"/>
      <c r="I75" s="136"/>
      <c r="J75" s="218">
        <f>D75</f>
        <v>0</v>
      </c>
      <c r="K75" s="159">
        <f t="shared" si="4"/>
        <v>0</v>
      </c>
      <c r="L75" s="52" t="s">
        <v>637</v>
      </c>
      <c r="M75" s="108"/>
      <c r="N75"/>
      <c r="O75"/>
    </row>
    <row r="76" spans="1:15" ht="13.5" thickBot="1">
      <c r="A76" s="111"/>
      <c r="B76" s="58"/>
      <c r="C76" s="58"/>
      <c r="D76" s="159"/>
      <c r="E76" s="133"/>
      <c r="F76" s="105"/>
      <c r="G76" s="136"/>
      <c r="I76" s="136"/>
      <c r="J76" s="136"/>
      <c r="K76" s="136"/>
      <c r="L76"/>
      <c r="M76" s="108"/>
      <c r="N76"/>
      <c r="O76"/>
    </row>
    <row r="77" spans="1:15" ht="12.75">
      <c r="A77" s="111"/>
      <c r="B77" s="160"/>
      <c r="C77" s="65" t="s">
        <v>435</v>
      </c>
      <c r="D77" s="165">
        <f>SUM(D61:D76)</f>
        <v>0</v>
      </c>
      <c r="E77" s="228">
        <f>SUM(E61:E76)</f>
        <v>0</v>
      </c>
      <c r="F77" s="105"/>
      <c r="G77" s="165">
        <f>SUM(G61:G76)</f>
        <v>0</v>
      </c>
      <c r="I77" s="165">
        <f>SUM(I61:I76)</f>
        <v>0</v>
      </c>
      <c r="J77" s="165">
        <f>SUM(J61:J76)</f>
        <v>0</v>
      </c>
      <c r="K77" s="165">
        <f>SUM(K61:K76)</f>
        <v>0</v>
      </c>
      <c r="L77"/>
      <c r="M77" s="108"/>
      <c r="N77"/>
      <c r="O77"/>
    </row>
    <row r="78" spans="1:15" ht="12.75">
      <c r="A78" s="111"/>
      <c r="B78" s="111"/>
      <c r="C78"/>
      <c r="D78"/>
      <c r="E78"/>
      <c r="F78"/>
      <c r="G78"/>
      <c r="H78"/>
      <c r="I78"/>
      <c r="J78"/>
      <c r="K78"/>
      <c r="L78"/>
      <c r="M78"/>
      <c r="N78"/>
      <c r="O78"/>
    </row>
    <row r="79" spans="1:15" ht="12.75">
      <c r="A79"/>
      <c r="B79"/>
      <c r="C79"/>
      <c r="D79"/>
      <c r="E79"/>
      <c r="F79"/>
      <c r="G79"/>
      <c r="H79"/>
      <c r="I79" s="204"/>
      <c r="J79"/>
      <c r="K79"/>
      <c r="L79"/>
      <c r="M79"/>
      <c r="N79"/>
      <c r="O79"/>
    </row>
    <row r="80" spans="1:15" ht="12.75">
      <c r="A80"/>
      <c r="B80"/>
      <c r="C80"/>
      <c r="D80"/>
      <c r="E80"/>
      <c r="F80"/>
      <c r="G80"/>
      <c r="H80"/>
      <c r="I80"/>
      <c r="J80"/>
      <c r="K80"/>
      <c r="L80"/>
      <c r="M80"/>
      <c r="N80"/>
      <c r="O80"/>
    </row>
    <row r="81" spans="1:15" ht="12.75">
      <c r="A81"/>
      <c r="B81"/>
      <c r="C81"/>
      <c r="D81"/>
      <c r="E81"/>
      <c r="F81"/>
      <c r="G81"/>
      <c r="H81"/>
      <c r="I81"/>
      <c r="J81"/>
      <c r="K81"/>
      <c r="L81"/>
      <c r="M81"/>
      <c r="N81"/>
      <c r="O81"/>
    </row>
    <row r="82" spans="1:15" ht="12.75">
      <c r="A82"/>
      <c r="B82"/>
      <c r="C82"/>
      <c r="D82"/>
      <c r="E82"/>
      <c r="F82"/>
      <c r="G82"/>
      <c r="H82"/>
      <c r="I82"/>
      <c r="J82"/>
      <c r="K82"/>
      <c r="L82"/>
      <c r="M82"/>
      <c r="N82"/>
      <c r="O82"/>
    </row>
    <row r="83" spans="1:15" ht="12.75">
      <c r="A83"/>
      <c r="B83"/>
      <c r="C83"/>
      <c r="D83"/>
      <c r="E83"/>
      <c r="F83"/>
      <c r="G83"/>
      <c r="H83"/>
      <c r="I83"/>
      <c r="J83"/>
      <c r="K83"/>
      <c r="L83"/>
      <c r="M83"/>
      <c r="N83"/>
      <c r="O83"/>
    </row>
    <row r="84" spans="1:15" ht="12.75">
      <c r="A84"/>
      <c r="B84"/>
      <c r="C84"/>
      <c r="D84"/>
      <c r="E84"/>
      <c r="F84"/>
      <c r="G84"/>
      <c r="H84"/>
      <c r="I84"/>
      <c r="J84"/>
      <c r="K84"/>
      <c r="L84"/>
      <c r="M84"/>
      <c r="N84"/>
      <c r="O84"/>
    </row>
    <row r="85" spans="1:15" ht="12.75">
      <c r="A85"/>
      <c r="B85"/>
      <c r="C85"/>
      <c r="D85"/>
      <c r="E85"/>
      <c r="F85"/>
      <c r="G85"/>
      <c r="H85"/>
      <c r="I85"/>
      <c r="J85"/>
      <c r="K85"/>
      <c r="L85"/>
      <c r="M85"/>
      <c r="N85"/>
      <c r="O85"/>
    </row>
    <row r="86" spans="1:15" ht="12.75">
      <c r="A86"/>
      <c r="B86"/>
      <c r="C86"/>
      <c r="D86"/>
      <c r="E86"/>
      <c r="F86"/>
      <c r="G86"/>
      <c r="H86"/>
      <c r="I86"/>
      <c r="J86"/>
      <c r="K86"/>
      <c r="L86"/>
      <c r="M86"/>
      <c r="N86"/>
      <c r="O86"/>
    </row>
    <row r="87" spans="1:15" ht="12.75">
      <c r="A87"/>
      <c r="B87"/>
      <c r="C87"/>
      <c r="D87"/>
      <c r="E87"/>
      <c r="F87"/>
      <c r="G87"/>
      <c r="H87"/>
      <c r="I87"/>
      <c r="J87"/>
      <c r="K87"/>
      <c r="L87"/>
      <c r="M87"/>
      <c r="N87"/>
      <c r="O87"/>
    </row>
    <row r="88" spans="1:15" ht="12.75">
      <c r="A88"/>
      <c r="B88"/>
      <c r="C88"/>
      <c r="D88"/>
      <c r="E88"/>
      <c r="F88"/>
      <c r="G88"/>
      <c r="H88"/>
      <c r="I88"/>
      <c r="J88"/>
      <c r="K88"/>
      <c r="L88"/>
      <c r="M88"/>
      <c r="N88"/>
      <c r="O88"/>
    </row>
    <row r="89" spans="1:15" ht="12.75">
      <c r="A89"/>
      <c r="B89"/>
      <c r="C89"/>
      <c r="D89"/>
      <c r="E89"/>
      <c r="F89"/>
      <c r="G89"/>
      <c r="H89"/>
      <c r="I89"/>
      <c r="J89"/>
      <c r="K89"/>
      <c r="L89"/>
      <c r="M89"/>
      <c r="N89"/>
      <c r="O89"/>
    </row>
    <row r="90" spans="1:15" ht="12.75">
      <c r="A90"/>
      <c r="B90"/>
      <c r="C90"/>
      <c r="D90"/>
      <c r="E90"/>
      <c r="F90"/>
      <c r="G90"/>
      <c r="H90"/>
      <c r="I90"/>
      <c r="J90"/>
      <c r="K90"/>
      <c r="L90"/>
      <c r="M90"/>
      <c r="N90"/>
      <c r="O90"/>
    </row>
    <row r="91" spans="1:15" ht="12.75">
      <c r="A91"/>
      <c r="B91"/>
      <c r="C91"/>
      <c r="D91"/>
      <c r="E91"/>
      <c r="F91"/>
      <c r="G91"/>
      <c r="H91"/>
      <c r="I91"/>
      <c r="J91"/>
      <c r="K91"/>
      <c r="L91"/>
      <c r="M91"/>
      <c r="N91"/>
      <c r="O91"/>
    </row>
    <row r="92" spans="1:15" ht="12.75">
      <c r="A92"/>
      <c r="B92"/>
      <c r="C92"/>
      <c r="D92"/>
      <c r="E92"/>
      <c r="F92"/>
      <c r="G92"/>
      <c r="H92"/>
      <c r="I92"/>
      <c r="J92"/>
      <c r="K92"/>
      <c r="L92"/>
      <c r="M92"/>
      <c r="N92"/>
      <c r="O92"/>
    </row>
    <row r="93" spans="1:15" ht="12.75">
      <c r="A93"/>
      <c r="B93"/>
      <c r="C93"/>
      <c r="D93"/>
      <c r="E93"/>
      <c r="F93"/>
      <c r="G93"/>
      <c r="H93"/>
      <c r="I93"/>
      <c r="J93"/>
      <c r="K93"/>
      <c r="L93"/>
      <c r="M93"/>
      <c r="N93"/>
      <c r="O93"/>
    </row>
    <row r="94" spans="1:15" ht="12.75">
      <c r="A94"/>
      <c r="B94"/>
      <c r="C94"/>
      <c r="D94"/>
      <c r="E94"/>
      <c r="F94"/>
      <c r="G94"/>
      <c r="H94"/>
      <c r="I94"/>
      <c r="J94"/>
      <c r="K94"/>
      <c r="L94"/>
      <c r="M94"/>
      <c r="N94"/>
      <c r="O94"/>
    </row>
    <row r="95" spans="1:15" ht="12.75">
      <c r="A95"/>
      <c r="B95"/>
      <c r="C95"/>
      <c r="D95"/>
      <c r="E95"/>
      <c r="F95"/>
      <c r="G95"/>
      <c r="H95"/>
      <c r="I95"/>
      <c r="J95"/>
      <c r="K95"/>
      <c r="L95"/>
      <c r="M95"/>
      <c r="N95"/>
      <c r="O95"/>
    </row>
    <row r="96" spans="1:15" ht="12.75">
      <c r="A96"/>
      <c r="B96"/>
      <c r="C96"/>
      <c r="D96"/>
      <c r="E96"/>
      <c r="F96"/>
      <c r="G96"/>
      <c r="H96"/>
      <c r="I96"/>
      <c r="J96"/>
      <c r="K96"/>
      <c r="L96"/>
      <c r="M96"/>
      <c r="N96"/>
      <c r="O96"/>
    </row>
    <row r="97" spans="1:15" ht="12.75">
      <c r="A97"/>
      <c r="B97"/>
      <c r="C97"/>
      <c r="D97"/>
      <c r="E97"/>
      <c r="F97"/>
      <c r="G97"/>
      <c r="H97"/>
      <c r="I97"/>
      <c r="J97"/>
      <c r="K97"/>
      <c r="L97"/>
      <c r="M97"/>
      <c r="N97"/>
      <c r="O97"/>
    </row>
    <row r="98" spans="1:15" ht="12.75">
      <c r="A98"/>
      <c r="B98"/>
      <c r="C98"/>
      <c r="D98"/>
      <c r="E98"/>
      <c r="F98"/>
      <c r="G98"/>
      <c r="H98"/>
      <c r="I98"/>
      <c r="J98"/>
      <c r="K98"/>
      <c r="L98"/>
      <c r="M98"/>
      <c r="N98"/>
      <c r="O98"/>
    </row>
    <row r="99" spans="1:15" ht="12.75">
      <c r="A99"/>
      <c r="B99"/>
      <c r="C99"/>
      <c r="D99"/>
      <c r="E99"/>
      <c r="F99"/>
      <c r="G99"/>
      <c r="H99"/>
      <c r="I99"/>
      <c r="J99"/>
      <c r="K99"/>
      <c r="L99"/>
      <c r="M99"/>
      <c r="N99"/>
      <c r="O99"/>
    </row>
    <row r="100" spans="1:15" ht="12.75">
      <c r="A100"/>
      <c r="B100"/>
      <c r="C100"/>
      <c r="D100"/>
      <c r="E100"/>
      <c r="F100"/>
      <c r="G100"/>
      <c r="H100"/>
      <c r="I100"/>
      <c r="J100"/>
      <c r="K100"/>
      <c r="L100"/>
      <c r="M100"/>
      <c r="N100"/>
      <c r="O100"/>
    </row>
    <row r="101" spans="1:15" ht="12.75">
      <c r="A101"/>
      <c r="B101"/>
      <c r="C101"/>
      <c r="D101"/>
      <c r="E101"/>
      <c r="F101"/>
      <c r="G101"/>
      <c r="H101"/>
      <c r="I101"/>
      <c r="J101"/>
      <c r="K101"/>
      <c r="L101"/>
      <c r="M101"/>
      <c r="N101"/>
      <c r="O101"/>
    </row>
    <row r="102" spans="1:15" ht="12.75">
      <c r="A102"/>
      <c r="B102"/>
      <c r="C102"/>
      <c r="D102"/>
      <c r="E102"/>
      <c r="F102"/>
      <c r="G102"/>
      <c r="H102"/>
      <c r="I102"/>
      <c r="J102"/>
      <c r="K102"/>
      <c r="L102"/>
      <c r="M102"/>
      <c r="N102"/>
      <c r="O102"/>
    </row>
    <row r="103" spans="1:15" ht="12.75">
      <c r="A103"/>
      <c r="B103"/>
      <c r="C103"/>
      <c r="D103"/>
      <c r="E103"/>
      <c r="F103"/>
      <c r="G103"/>
      <c r="H103"/>
      <c r="I103"/>
      <c r="J103"/>
      <c r="K103"/>
      <c r="L103"/>
      <c r="M103"/>
      <c r="N103"/>
      <c r="O103"/>
    </row>
    <row r="104" spans="1:15" ht="12.75">
      <c r="A104"/>
      <c r="B104"/>
      <c r="C104"/>
      <c r="D104"/>
      <c r="E104"/>
      <c r="F104"/>
      <c r="G104"/>
      <c r="H104"/>
      <c r="I104"/>
      <c r="J104"/>
      <c r="K104"/>
      <c r="L104"/>
      <c r="M104"/>
      <c r="N104"/>
      <c r="O104"/>
    </row>
    <row r="105" spans="1:15" ht="12.75">
      <c r="A105"/>
      <c r="B105"/>
      <c r="C105"/>
      <c r="D105"/>
      <c r="E105"/>
      <c r="F105"/>
      <c r="G105"/>
      <c r="H105"/>
      <c r="I105"/>
      <c r="J105"/>
      <c r="K105"/>
      <c r="L105"/>
      <c r="M105"/>
      <c r="N105"/>
      <c r="O105"/>
    </row>
    <row r="106" spans="1:15" ht="12.75">
      <c r="A106"/>
      <c r="B106"/>
      <c r="C106"/>
      <c r="D106"/>
      <c r="E106"/>
      <c r="F106"/>
      <c r="G106"/>
      <c r="H106"/>
      <c r="I106"/>
      <c r="J106"/>
      <c r="K106"/>
      <c r="L106"/>
      <c r="M106"/>
      <c r="N106"/>
      <c r="O106"/>
    </row>
    <row r="107" spans="1:15" ht="12.75">
      <c r="A107"/>
      <c r="B107"/>
      <c r="C107"/>
      <c r="D107"/>
      <c r="E107"/>
      <c r="F107"/>
      <c r="G107"/>
      <c r="H107"/>
      <c r="I107"/>
      <c r="J107"/>
      <c r="K107"/>
      <c r="L107"/>
      <c r="M107"/>
      <c r="N107"/>
      <c r="O107"/>
    </row>
    <row r="108" spans="1:15" ht="12.75">
      <c r="A108"/>
      <c r="B108"/>
      <c r="C108"/>
      <c r="D108"/>
      <c r="E108"/>
      <c r="F108"/>
      <c r="G108"/>
      <c r="H108"/>
      <c r="I108"/>
      <c r="J108"/>
      <c r="K108"/>
      <c r="L108"/>
      <c r="M108"/>
      <c r="N108"/>
      <c r="O108"/>
    </row>
    <row r="109" spans="1:15" ht="12.75">
      <c r="A109"/>
      <c r="B109"/>
      <c r="C109"/>
      <c r="D109"/>
      <c r="E109"/>
      <c r="F109"/>
      <c r="G109"/>
      <c r="H109"/>
      <c r="I109"/>
      <c r="J109"/>
      <c r="K109"/>
      <c r="L109"/>
      <c r="M109"/>
      <c r="N109"/>
      <c r="O109"/>
    </row>
    <row r="110" spans="1:15" ht="12.75">
      <c r="A110"/>
      <c r="B110"/>
      <c r="C110"/>
      <c r="D110"/>
      <c r="E110"/>
      <c r="F110"/>
      <c r="G110"/>
      <c r="H110"/>
      <c r="I110"/>
      <c r="J110"/>
      <c r="K110"/>
      <c r="L110"/>
      <c r="M110"/>
      <c r="N110"/>
      <c r="O110"/>
    </row>
    <row r="111" spans="1:15" ht="12.75">
      <c r="A111"/>
      <c r="B111"/>
      <c r="C111"/>
      <c r="D111"/>
      <c r="E111"/>
      <c r="F111"/>
      <c r="G111"/>
      <c r="H111"/>
      <c r="I111"/>
      <c r="J111"/>
      <c r="K111"/>
      <c r="L111"/>
      <c r="M111"/>
      <c r="N111"/>
      <c r="O111"/>
    </row>
    <row r="112" spans="1:15" ht="12.75">
      <c r="A112"/>
      <c r="B112"/>
      <c r="C112"/>
      <c r="D112"/>
      <c r="E112"/>
      <c r="F112"/>
      <c r="G112"/>
      <c r="H112"/>
      <c r="I112"/>
      <c r="J112"/>
      <c r="K112"/>
      <c r="L112"/>
      <c r="M112"/>
      <c r="N112"/>
      <c r="O112"/>
    </row>
    <row r="113" spans="1:15" ht="12.75">
      <c r="A113"/>
      <c r="B113"/>
      <c r="C113"/>
      <c r="D113"/>
      <c r="E113"/>
      <c r="F113"/>
      <c r="G113"/>
      <c r="H113"/>
      <c r="I113"/>
      <c r="J113"/>
      <c r="K113"/>
      <c r="L113"/>
      <c r="M113"/>
      <c r="N113"/>
      <c r="O113"/>
    </row>
    <row r="114" spans="1:15" ht="12.75">
      <c r="A114"/>
      <c r="B114"/>
      <c r="C114"/>
      <c r="D114"/>
      <c r="E114"/>
      <c r="F114"/>
      <c r="G114"/>
      <c r="H114"/>
      <c r="I114"/>
      <c r="J114"/>
      <c r="K114"/>
      <c r="L114"/>
      <c r="M114"/>
      <c r="N114"/>
      <c r="O114"/>
    </row>
    <row r="115" spans="1:15" ht="12.75">
      <c r="A115"/>
      <c r="B115"/>
      <c r="C115"/>
      <c r="D115"/>
      <c r="E115"/>
      <c r="F115"/>
      <c r="G115"/>
      <c r="H115"/>
      <c r="I115"/>
      <c r="J115"/>
      <c r="K115"/>
      <c r="L115"/>
      <c r="M115"/>
      <c r="N115"/>
      <c r="O115"/>
    </row>
    <row r="116" spans="1:15" ht="12.75">
      <c r="A116"/>
      <c r="B116"/>
      <c r="C116"/>
      <c r="D116"/>
      <c r="E116"/>
      <c r="F116"/>
      <c r="G116"/>
      <c r="H116"/>
      <c r="I116"/>
      <c r="J116"/>
      <c r="K116"/>
      <c r="L116"/>
      <c r="M116"/>
      <c r="N116"/>
      <c r="O116"/>
    </row>
    <row r="117" spans="1:15" ht="12.75">
      <c r="A117"/>
      <c r="B117"/>
      <c r="C117"/>
      <c r="D117"/>
      <c r="E117"/>
      <c r="F117"/>
      <c r="G117"/>
      <c r="H117"/>
      <c r="I117"/>
      <c r="J117"/>
      <c r="K117"/>
      <c r="L117"/>
      <c r="M117"/>
      <c r="N117"/>
      <c r="O117"/>
    </row>
    <row r="118" spans="1:15" ht="12.75">
      <c r="A118"/>
      <c r="B118"/>
      <c r="C118"/>
      <c r="D118"/>
      <c r="E118"/>
      <c r="F118"/>
      <c r="G118"/>
      <c r="H118"/>
      <c r="I118"/>
      <c r="J118"/>
      <c r="K118"/>
      <c r="L118"/>
      <c r="M118"/>
      <c r="N118"/>
      <c r="O118"/>
    </row>
    <row r="119" spans="1:15" ht="12.75">
      <c r="A119"/>
      <c r="B119"/>
      <c r="C119"/>
      <c r="D119"/>
      <c r="E119"/>
      <c r="F119"/>
      <c r="G119"/>
      <c r="H119"/>
      <c r="I119"/>
      <c r="J119"/>
      <c r="K119"/>
      <c r="L119"/>
      <c r="M119"/>
      <c r="N119"/>
      <c r="O119"/>
    </row>
    <row r="120" spans="1:15" ht="12.75">
      <c r="A120"/>
      <c r="B120"/>
      <c r="C120"/>
      <c r="D120"/>
      <c r="E120"/>
      <c r="F120"/>
      <c r="G120"/>
      <c r="H120"/>
      <c r="I120"/>
      <c r="J120"/>
      <c r="K120"/>
      <c r="L120"/>
      <c r="M120"/>
      <c r="N120"/>
      <c r="O120"/>
    </row>
    <row r="121" spans="1:15" ht="12.75">
      <c r="A121"/>
      <c r="B121"/>
      <c r="C121"/>
      <c r="D121"/>
      <c r="E121"/>
      <c r="F121"/>
      <c r="G121"/>
      <c r="H121"/>
      <c r="I121"/>
      <c r="J121"/>
      <c r="K121"/>
      <c r="L121"/>
      <c r="M121"/>
      <c r="N121"/>
      <c r="O121"/>
    </row>
    <row r="122" spans="1:15" ht="12.75">
      <c r="A122"/>
      <c r="B122"/>
      <c r="C122"/>
      <c r="D122"/>
      <c r="E122"/>
      <c r="F122"/>
      <c r="G122"/>
      <c r="H122"/>
      <c r="I122"/>
      <c r="J122"/>
      <c r="K122"/>
      <c r="L122"/>
      <c r="M122"/>
      <c r="N122"/>
      <c r="O122"/>
    </row>
    <row r="123" spans="1:15" ht="12.75">
      <c r="A123"/>
      <c r="B123"/>
      <c r="C123"/>
      <c r="D123"/>
      <c r="E123"/>
      <c r="F123"/>
      <c r="G123"/>
      <c r="H123"/>
      <c r="I123"/>
      <c r="J123"/>
      <c r="K123"/>
      <c r="L123"/>
      <c r="M123"/>
      <c r="N123"/>
      <c r="O123"/>
    </row>
  </sheetData>
  <sheetProtection password="CA99" sheet="1" objects="1" scenarios="1"/>
  <mergeCells count="11">
    <mergeCell ref="G10:G11"/>
    <mergeCell ref="B8:K8"/>
    <mergeCell ref="A1:L1"/>
    <mergeCell ref="A2:L2"/>
    <mergeCell ref="A3:L3"/>
    <mergeCell ref="A4:L4"/>
    <mergeCell ref="B56:J56"/>
    <mergeCell ref="B22:K22"/>
    <mergeCell ref="E10:E11"/>
    <mergeCell ref="I10:I11"/>
    <mergeCell ref="B32:J32"/>
  </mergeCells>
  <printOptions/>
  <pageMargins left="1.08" right="0.75" top="0.7" bottom="0.41" header="0.75" footer="0.27"/>
  <pageSetup fitToHeight="1" fitToWidth="1" horizontalDpi="600" verticalDpi="600" orientation="landscape" scale="11" r:id="rId1"/>
  <headerFooter alignWithMargins="0">
    <oddHeader>&amp;R&amp;"Arial,Bold"Formula Rate
&amp;A
Page &amp;P of &amp;N</oddHeader>
  </headerFooter>
</worksheet>
</file>

<file path=xl/worksheets/sheet6.xml><?xml version="1.0" encoding="utf-8"?>
<worksheet xmlns="http://schemas.openxmlformats.org/spreadsheetml/2006/main" xmlns:r="http://schemas.openxmlformats.org/officeDocument/2006/relationships">
  <sheetPr>
    <tabColor rgb="FFCCFFFF"/>
    <pageSetUpPr fitToPage="1"/>
  </sheetPr>
  <dimension ref="A1:O36"/>
  <sheetViews>
    <sheetView zoomScalePageLayoutView="0" workbookViewId="0" topLeftCell="A1">
      <selection activeCell="C8" sqref="C8"/>
    </sheetView>
  </sheetViews>
  <sheetFormatPr defaultColWidth="8.8515625" defaultRowHeight="12.75"/>
  <cols>
    <col min="1" max="1" width="9.140625" style="426" customWidth="1"/>
    <col min="2" max="2" width="65.140625" style="352" bestFit="1" customWidth="1"/>
    <col min="3" max="3" width="13.57421875" style="352" bestFit="1" customWidth="1"/>
    <col min="4" max="4" width="1.57421875" style="352" customWidth="1"/>
    <col min="5" max="5" width="15.00390625" style="352" bestFit="1" customWidth="1"/>
    <col min="6" max="16384" width="8.8515625" style="352" customWidth="1"/>
  </cols>
  <sheetData>
    <row r="1" spans="1:15" ht="15">
      <c r="A1" s="1247" t="str">
        <f>TCOS!$F$3</f>
        <v>AEPTCo subsidiaries in PJM</v>
      </c>
      <c r="B1" s="1247" t="str">
        <f>TCOS!$F$3</f>
        <v>AEPTCo subsidiaries in PJM</v>
      </c>
      <c r="C1" s="1247" t="str">
        <f>TCOS!$F$3</f>
        <v>AEPTCo subsidiaries in PJM</v>
      </c>
      <c r="D1" s="1247" t="str">
        <f>TCOS!$F$3</f>
        <v>AEPTCo subsidiaries in PJM</v>
      </c>
      <c r="E1" s="1247" t="str">
        <f>TCOS!$F$3</f>
        <v>AEPTCo subsidiaries in PJM</v>
      </c>
      <c r="F1" s="573"/>
      <c r="G1" s="573"/>
      <c r="H1" s="573"/>
      <c r="I1" s="573"/>
      <c r="J1" s="573"/>
      <c r="K1" s="573"/>
      <c r="L1" s="573"/>
      <c r="M1" s="573"/>
      <c r="N1" s="573"/>
      <c r="O1" s="573"/>
    </row>
    <row r="2" spans="1:15" ht="15">
      <c r="A2" s="1246" t="str">
        <f>"Cost of Service Formula Rate Using Actual/Projected FF1 Balances"</f>
        <v>Cost of Service Formula Rate Using Actual/Projected FF1 Balances</v>
      </c>
      <c r="B2" s="1246"/>
      <c r="C2" s="1246"/>
      <c r="D2" s="1246"/>
      <c r="E2" s="1246"/>
      <c r="F2" s="575"/>
      <c r="G2" s="575"/>
      <c r="H2" s="575"/>
      <c r="I2" s="575"/>
      <c r="J2" s="575"/>
      <c r="K2" s="575"/>
      <c r="L2" s="575"/>
      <c r="M2" s="629"/>
      <c r="N2" s="629"/>
      <c r="O2" s="629"/>
    </row>
    <row r="3" spans="1:15" ht="15">
      <c r="A3" s="1246" t="s">
        <v>808</v>
      </c>
      <c r="B3" s="1246"/>
      <c r="C3" s="1246"/>
      <c r="D3" s="1246"/>
      <c r="E3" s="1246"/>
      <c r="F3" s="575"/>
      <c r="G3" s="575"/>
      <c r="H3" s="575"/>
      <c r="I3" s="575"/>
      <c r="J3" s="575"/>
      <c r="K3" s="575"/>
      <c r="L3" s="575"/>
      <c r="M3" s="575"/>
      <c r="N3" s="575"/>
      <c r="O3" s="575"/>
    </row>
    <row r="4" spans="1:15" ht="15">
      <c r="A4" s="1265" t="str">
        <f>+'WS C  - Working Capital'!A4:O4</f>
        <v>AEP APPALACHIAN TRANSMISSION COMPANY</v>
      </c>
      <c r="B4" s="1265"/>
      <c r="C4" s="1265"/>
      <c r="D4" s="1265"/>
      <c r="E4" s="1265"/>
      <c r="F4" s="350"/>
      <c r="G4" s="350"/>
      <c r="H4" s="350"/>
      <c r="I4" s="350"/>
      <c r="J4" s="350"/>
      <c r="K4" s="350"/>
      <c r="L4" s="350"/>
      <c r="M4" s="350"/>
      <c r="N4" s="350"/>
      <c r="O4" s="350"/>
    </row>
    <row r="6" spans="1:3" ht="12.75">
      <c r="A6" s="630" t="s">
        <v>690</v>
      </c>
      <c r="B6" s="631" t="s">
        <v>683</v>
      </c>
      <c r="C6" s="631" t="s">
        <v>684</v>
      </c>
    </row>
    <row r="7" spans="1:3" ht="12.75">
      <c r="A7" s="630" t="s">
        <v>628</v>
      </c>
      <c r="B7" s="630" t="s">
        <v>688</v>
      </c>
      <c r="C7" s="630">
        <f>+TCOS!L2</f>
        <v>2017</v>
      </c>
    </row>
    <row r="8" spans="1:3" ht="12.75">
      <c r="A8" s="632"/>
      <c r="B8" s="633"/>
      <c r="C8" s="631"/>
    </row>
    <row r="9" spans="1:4" ht="12.75">
      <c r="A9" s="426">
        <v>1</v>
      </c>
      <c r="B9" s="634" t="str">
        <f>"Net Funds from IPP Customers 12/31/"&amp;TCOS!L2-1&amp;" ("&amp;TCOS!L2&amp;" FORM 1, P269, line 24.b)"</f>
        <v>Net Funds from IPP Customers 12/31/2016 (2017 FORM 1, P269, line 24.b)</v>
      </c>
      <c r="C9" s="650">
        <v>0</v>
      </c>
      <c r="D9" s="548"/>
    </row>
    <row r="10" spans="2:4" ht="12.75">
      <c r="B10" s="620"/>
      <c r="D10" s="548"/>
    </row>
    <row r="11" spans="1:4" ht="12.75">
      <c r="A11" s="635">
        <v>2</v>
      </c>
      <c r="B11" s="636" t="s">
        <v>353</v>
      </c>
      <c r="C11" s="650">
        <v>0</v>
      </c>
      <c r="D11" s="548"/>
    </row>
    <row r="12" spans="1:4" ht="12.75">
      <c r="A12" s="635"/>
      <c r="B12" s="636"/>
      <c r="D12" s="548"/>
    </row>
    <row r="13" spans="1:4" ht="12.75">
      <c r="A13" s="635">
        <f>+A11+1</f>
        <v>3</v>
      </c>
      <c r="B13" s="636" t="s">
        <v>550</v>
      </c>
      <c r="C13" s="650">
        <v>0</v>
      </c>
      <c r="D13" s="548"/>
    </row>
    <row r="14" spans="1:4" ht="12.75">
      <c r="A14" s="635"/>
      <c r="B14" s="636"/>
      <c r="D14" s="548"/>
    </row>
    <row r="15" spans="1:4" ht="12.75">
      <c r="A15" s="635">
        <f>+A13+1</f>
        <v>4</v>
      </c>
      <c r="B15" s="637" t="s">
        <v>0</v>
      </c>
      <c r="D15" s="548"/>
    </row>
    <row r="16" spans="1:4" ht="12.75">
      <c r="A16" s="638">
        <f>+A15+1</f>
        <v>5</v>
      </c>
      <c r="B16" s="639" t="s">
        <v>551</v>
      </c>
      <c r="C16" s="650">
        <v>0</v>
      </c>
      <c r="D16" s="548"/>
    </row>
    <row r="17" spans="1:4" ht="12.75">
      <c r="A17" s="638">
        <f>+A16+1</f>
        <v>6</v>
      </c>
      <c r="B17" s="638" t="s">
        <v>637</v>
      </c>
      <c r="C17" s="651">
        <v>0</v>
      </c>
      <c r="D17" s="548"/>
    </row>
    <row r="18" spans="1:4" ht="12.75">
      <c r="A18" s="638"/>
      <c r="B18" s="640"/>
      <c r="C18" s="641"/>
      <c r="D18" s="548"/>
    </row>
    <row r="19" spans="1:4" ht="12.75">
      <c r="A19" s="638">
        <f>+A17+1</f>
        <v>7</v>
      </c>
      <c r="B19" s="642" t="str">
        <f>"Net Funds from IPP Customers 12/31/"&amp;TCOS!L2&amp;" ("&amp;TCOS!L2&amp;" FORM 1, P269, line 24.f)"</f>
        <v>Net Funds from IPP Customers 12/31/2017 (2017 FORM 1, P269, line 24.f)</v>
      </c>
      <c r="C19" s="643">
        <f>+C9+C11+C13+C16+C17</f>
        <v>0</v>
      </c>
      <c r="D19" s="644"/>
    </row>
    <row r="20" spans="1:4" ht="12.75">
      <c r="A20" s="638"/>
      <c r="B20" s="640"/>
      <c r="D20" s="548"/>
    </row>
    <row r="21" spans="1:4" ht="12.75">
      <c r="A21" s="638">
        <f>+A19+1</f>
        <v>8</v>
      </c>
      <c r="B21" s="639" t="str">
        <f>"Average Balance for Year as Indicated in Column ((ln "&amp;A9&amp;" + ln "&amp;A19&amp;")/2)"</f>
        <v>Average Balance for Year as Indicated in Column ((ln 1 + ln 7)/2)</v>
      </c>
      <c r="C21" s="645">
        <f>AVERAGE(C19,C9)</f>
        <v>0</v>
      </c>
      <c r="D21" s="548"/>
    </row>
    <row r="22" spans="1:4" ht="12.75">
      <c r="A22" s="638"/>
      <c r="B22" s="640"/>
      <c r="D22" s="548"/>
    </row>
    <row r="23" spans="1:4" ht="12.75">
      <c r="A23" s="638"/>
      <c r="B23" s="640"/>
      <c r="C23" s="643"/>
      <c r="D23" s="548"/>
    </row>
    <row r="24" spans="1:4" ht="15">
      <c r="A24" s="646" t="s">
        <v>431</v>
      </c>
      <c r="B24" s="1263" t="str">
        <f>"On this worksheet Company Records refers to  "&amp;A4&amp;"'s general ledger."</f>
        <v>On this worksheet Company Records refers to  AEP APPALACHIAN TRANSMISSION COMPANY's general ledger.</v>
      </c>
      <c r="C24" s="565"/>
      <c r="D24" s="548"/>
    </row>
    <row r="25" spans="1:4" ht="12.75">
      <c r="A25" s="647"/>
      <c r="B25" s="1264"/>
      <c r="D25" s="548"/>
    </row>
    <row r="26" ht="12.75">
      <c r="D26" s="548"/>
    </row>
    <row r="27" ht="12.75">
      <c r="D27" s="548"/>
    </row>
    <row r="28" ht="12.75">
      <c r="D28" s="548"/>
    </row>
    <row r="29" ht="12.75">
      <c r="D29" s="548"/>
    </row>
    <row r="30" ht="12.75">
      <c r="D30" s="648"/>
    </row>
    <row r="31" ht="12.75">
      <c r="D31" s="548"/>
    </row>
    <row r="32" ht="12.75">
      <c r="D32" s="548"/>
    </row>
    <row r="33" ht="12.75">
      <c r="D33" s="548"/>
    </row>
    <row r="34" spans="1:4" ht="12.75">
      <c r="A34" s="632"/>
      <c r="B34" s="548"/>
      <c r="C34" s="548"/>
      <c r="D34" s="548"/>
    </row>
    <row r="35" spans="1:3" ht="12.75">
      <c r="A35" s="632"/>
      <c r="B35" s="548"/>
      <c r="C35" s="548"/>
    </row>
    <row r="36" ht="12.75">
      <c r="C36" s="649"/>
    </row>
  </sheetData>
  <sheetProtection password="CA99" sheet="1" objects="1" scenarios="1"/>
  <mergeCells count="5">
    <mergeCell ref="B24:B25"/>
    <mergeCell ref="A1:E1"/>
    <mergeCell ref="A2:E2"/>
    <mergeCell ref="A3:E3"/>
    <mergeCell ref="A4:E4"/>
  </mergeCells>
  <printOptions/>
  <pageMargins left="0.82" right="0.7" top="1" bottom="1" header="0.75" footer="0.5"/>
  <pageSetup fitToHeight="1" fitToWidth="1" horizontalDpi="600" verticalDpi="600" orientation="portrait" scale="85"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tabColor rgb="FFCCFFFF"/>
    <pageSetUpPr fitToPage="1"/>
  </sheetPr>
  <dimension ref="A1:AO145"/>
  <sheetViews>
    <sheetView zoomScale="90" zoomScaleNormal="90" zoomScalePageLayoutView="0" workbookViewId="0" topLeftCell="A1">
      <selection activeCell="I19" sqref="I19"/>
    </sheetView>
  </sheetViews>
  <sheetFormatPr defaultColWidth="9.140625" defaultRowHeight="12.75"/>
  <cols>
    <col min="1" max="1" width="9.421875" style="652" customWidth="1"/>
    <col min="2" max="2" width="6.7109375" style="652" customWidth="1"/>
    <col min="3" max="7" width="12.7109375" style="652" customWidth="1"/>
    <col min="8" max="8" width="19.28125" style="652" customWidth="1"/>
    <col min="9" max="9" width="15.00390625" style="652" bestFit="1" customWidth="1"/>
    <col min="10" max="11" width="16.57421875" style="652" bestFit="1" customWidth="1"/>
    <col min="12" max="13" width="22.140625" style="652" bestFit="1" customWidth="1"/>
    <col min="14" max="14" width="8.421875" style="652" customWidth="1"/>
    <col min="15" max="38" width="12.7109375" style="652" customWidth="1"/>
    <col min="39" max="16384" width="9.140625" style="652" customWidth="1"/>
  </cols>
  <sheetData>
    <row r="1" spans="1:15" ht="15">
      <c r="A1" s="1247" t="str">
        <f>TCOS!$F$3</f>
        <v>AEPTCo subsidiaries in PJM</v>
      </c>
      <c r="B1" s="1247" t="str">
        <f>TCOS!$F$3</f>
        <v>AEPTCo subsidiaries in PJM</v>
      </c>
      <c r="C1" s="1247" t="str">
        <f>TCOS!$F$3</f>
        <v>AEPTCo subsidiaries in PJM</v>
      </c>
      <c r="D1" s="1247" t="str">
        <f>TCOS!$F$3</f>
        <v>AEPTCo subsidiaries in PJM</v>
      </c>
      <c r="E1" s="1247" t="str">
        <f>TCOS!$F$3</f>
        <v>AEPTCo subsidiaries in PJM</v>
      </c>
      <c r="F1" s="1247" t="str">
        <f>TCOS!$F$3</f>
        <v>AEPTCo subsidiaries in PJM</v>
      </c>
      <c r="G1" s="1247" t="str">
        <f>TCOS!$F$3</f>
        <v>AEPTCo subsidiaries in PJM</v>
      </c>
      <c r="H1" s="1247" t="str">
        <f>TCOS!$F$3</f>
        <v>AEPTCo subsidiaries in PJM</v>
      </c>
      <c r="I1" s="1247" t="str">
        <f>TCOS!$F$3</f>
        <v>AEPTCo subsidiaries in PJM</v>
      </c>
      <c r="J1" s="1247" t="str">
        <f>TCOS!$F$3</f>
        <v>AEPTCo subsidiaries in PJM</v>
      </c>
      <c r="K1" s="1247" t="str">
        <f>TCOS!$F$3</f>
        <v>AEPTCo subsidiaries in PJM</v>
      </c>
      <c r="L1" s="573"/>
      <c r="M1" s="573"/>
      <c r="N1" s="573"/>
      <c r="O1" s="573"/>
    </row>
    <row r="2" spans="1:15" ht="15">
      <c r="A2" s="1246" t="str">
        <f>"Cost of Service Formula Rate Using Actual/Projected FF1 Balances"</f>
        <v>Cost of Service Formula Rate Using Actual/Projected FF1 Balances</v>
      </c>
      <c r="B2" s="1246"/>
      <c r="C2" s="1246"/>
      <c r="D2" s="1246"/>
      <c r="E2" s="1246"/>
      <c r="F2" s="1246"/>
      <c r="G2" s="1246"/>
      <c r="H2" s="1246"/>
      <c r="I2" s="1246"/>
      <c r="J2" s="1246"/>
      <c r="K2" s="1246"/>
      <c r="L2" s="629"/>
      <c r="M2" s="629"/>
      <c r="N2" s="629"/>
      <c r="O2" s="629"/>
    </row>
    <row r="3" spans="1:15" ht="15">
      <c r="A3" s="1246" t="s">
        <v>77</v>
      </c>
      <c r="B3" s="1246"/>
      <c r="C3" s="1246"/>
      <c r="D3" s="1246"/>
      <c r="E3" s="1246"/>
      <c r="F3" s="1246"/>
      <c r="G3" s="1246"/>
      <c r="H3" s="1246"/>
      <c r="I3" s="1246"/>
      <c r="J3" s="1246"/>
      <c r="K3" s="1246"/>
      <c r="L3" s="575"/>
      <c r="M3" s="575"/>
      <c r="N3" s="575"/>
      <c r="O3" s="575"/>
    </row>
    <row r="4" spans="1:15" ht="15">
      <c r="A4" s="1265" t="str">
        <f>+'WS D IPP Credits'!A4:C4</f>
        <v>AEP APPALACHIAN TRANSMISSION COMPANY</v>
      </c>
      <c r="B4" s="1265"/>
      <c r="C4" s="1265"/>
      <c r="D4" s="1265"/>
      <c r="E4" s="1265"/>
      <c r="F4" s="1265"/>
      <c r="G4" s="1265"/>
      <c r="H4" s="1265"/>
      <c r="I4" s="1265"/>
      <c r="J4" s="1265"/>
      <c r="K4" s="1265"/>
      <c r="L4" s="350"/>
      <c r="M4" s="350"/>
      <c r="N4" s="350"/>
      <c r="O4" s="350"/>
    </row>
    <row r="5" spans="1:15" ht="15">
      <c r="A5" s="653"/>
      <c r="B5" s="653"/>
      <c r="C5" s="653"/>
      <c r="D5" s="653"/>
      <c r="E5" s="653"/>
      <c r="F5" s="653"/>
      <c r="G5" s="653"/>
      <c r="H5" s="653"/>
      <c r="I5" s="653"/>
      <c r="J5" s="653"/>
      <c r="K5" s="653"/>
      <c r="L5" s="653"/>
      <c r="M5" s="653"/>
      <c r="N5" s="653"/>
      <c r="O5" s="653"/>
    </row>
    <row r="6" spans="1:13" ht="18">
      <c r="A6" s="1269"/>
      <c r="B6" s="1269"/>
      <c r="C6" s="1269"/>
      <c r="D6" s="1269"/>
      <c r="E6" s="1269"/>
      <c r="F6" s="1269"/>
      <c r="G6" s="1269"/>
      <c r="H6" s="1269"/>
      <c r="I6" s="1269"/>
      <c r="J6" s="1269"/>
      <c r="K6" s="1269"/>
      <c r="L6" s="655"/>
      <c r="M6" s="656"/>
    </row>
    <row r="7" spans="1:13" ht="18">
      <c r="A7" s="654"/>
      <c r="B7" s="654"/>
      <c r="C7" s="654"/>
      <c r="D7" s="654"/>
      <c r="E7" s="654"/>
      <c r="F7" s="654"/>
      <c r="G7" s="654"/>
      <c r="H7" s="654"/>
      <c r="I7" s="654"/>
      <c r="J7" s="654"/>
      <c r="K7" s="654"/>
      <c r="L7" s="655"/>
      <c r="M7" s="656"/>
    </row>
    <row r="8" spans="1:22" ht="15.75">
      <c r="A8" s="657" t="s">
        <v>690</v>
      </c>
      <c r="B8" s="655"/>
      <c r="C8" s="658"/>
      <c r="D8" s="658"/>
      <c r="E8" s="658"/>
      <c r="F8" s="658"/>
      <c r="G8" s="659"/>
      <c r="H8" s="659"/>
      <c r="I8" s="657" t="s">
        <v>723</v>
      </c>
      <c r="J8" s="657" t="s">
        <v>584</v>
      </c>
      <c r="K8" s="660"/>
      <c r="N8" s="661"/>
      <c r="P8" s="661"/>
      <c r="R8" s="661"/>
      <c r="S8" s="661"/>
      <c r="T8" s="661"/>
      <c r="U8" s="555"/>
      <c r="V8" s="555"/>
    </row>
    <row r="9" spans="1:22" ht="15.75">
      <c r="A9" s="657" t="s">
        <v>628</v>
      </c>
      <c r="B9" s="1270" t="s">
        <v>688</v>
      </c>
      <c r="C9" s="1270"/>
      <c r="D9" s="1270"/>
      <c r="E9" s="1270"/>
      <c r="F9" s="1270"/>
      <c r="G9" s="1270"/>
      <c r="H9" s="1270"/>
      <c r="I9" s="662" t="s">
        <v>724</v>
      </c>
      <c r="J9" s="662" t="s">
        <v>638</v>
      </c>
      <c r="K9" s="662" t="s">
        <v>638</v>
      </c>
      <c r="N9" s="661"/>
      <c r="O9" s="661"/>
      <c r="P9" s="661"/>
      <c r="Q9" s="661"/>
      <c r="R9" s="661"/>
      <c r="S9" s="661"/>
      <c r="T9" s="663"/>
      <c r="U9" s="555"/>
      <c r="V9" s="555"/>
    </row>
    <row r="10" spans="1:22" ht="15.75">
      <c r="A10" s="659"/>
      <c r="B10" s="664"/>
      <c r="C10" s="655"/>
      <c r="D10" s="659"/>
      <c r="E10" s="659"/>
      <c r="F10" s="659"/>
      <c r="G10" s="659"/>
      <c r="H10" s="659"/>
      <c r="I10" s="659"/>
      <c r="J10" s="659"/>
      <c r="K10" s="665"/>
      <c r="N10" s="661"/>
      <c r="O10" s="661"/>
      <c r="P10" s="661"/>
      <c r="Q10" s="661"/>
      <c r="R10" s="661"/>
      <c r="S10" s="661"/>
      <c r="T10" s="663"/>
      <c r="U10" s="555"/>
      <c r="V10" s="555"/>
    </row>
    <row r="11" spans="1:22" s="668" customFormat="1" ht="12.75">
      <c r="A11" s="666">
        <v>1</v>
      </c>
      <c r="B11" s="667" t="s">
        <v>61</v>
      </c>
      <c r="D11" s="669"/>
      <c r="E11" s="669"/>
      <c r="F11" s="670"/>
      <c r="G11" s="669"/>
      <c r="H11" s="669"/>
      <c r="I11" s="694">
        <v>0</v>
      </c>
      <c r="J11" s="671">
        <f>+I11-K11</f>
        <v>0</v>
      </c>
      <c r="K11" s="694">
        <v>0</v>
      </c>
      <c r="N11" s="468"/>
      <c r="O11" s="468"/>
      <c r="P11" s="468"/>
      <c r="Q11" s="468"/>
      <c r="R11" s="468"/>
      <c r="S11" s="468"/>
      <c r="T11" s="672"/>
      <c r="U11" s="468"/>
      <c r="V11" s="468"/>
    </row>
    <row r="12" spans="1:22" s="668" customFormat="1" ht="12.75">
      <c r="A12" s="666"/>
      <c r="B12" s="667"/>
      <c r="D12" s="669"/>
      <c r="E12" s="669"/>
      <c r="F12" s="670"/>
      <c r="G12" s="669"/>
      <c r="H12" s="669"/>
      <c r="I12" s="673"/>
      <c r="J12" s="674"/>
      <c r="K12" s="674"/>
      <c r="N12" s="468"/>
      <c r="O12" s="468"/>
      <c r="P12" s="468"/>
      <c r="Q12" s="468"/>
      <c r="R12" s="468"/>
      <c r="S12" s="468"/>
      <c r="T12" s="672"/>
      <c r="U12" s="468"/>
      <c r="V12" s="468"/>
    </row>
    <row r="13" spans="1:22" s="668" customFormat="1" ht="12.75">
      <c r="A13" s="666">
        <f>+A11+1</f>
        <v>2</v>
      </c>
      <c r="B13" s="675" t="s">
        <v>62</v>
      </c>
      <c r="D13" s="669"/>
      <c r="E13" s="669"/>
      <c r="F13" s="670"/>
      <c r="G13" s="669"/>
      <c r="H13" s="670"/>
      <c r="I13" s="694">
        <v>0</v>
      </c>
      <c r="J13" s="671">
        <f>+I13-K13</f>
        <v>0</v>
      </c>
      <c r="K13" s="694">
        <v>0</v>
      </c>
      <c r="N13" s="468"/>
      <c r="O13" s="468"/>
      <c r="P13" s="468"/>
      <c r="Q13" s="468"/>
      <c r="R13" s="468"/>
      <c r="S13" s="468"/>
      <c r="T13" s="468"/>
      <c r="U13" s="468"/>
      <c r="V13" s="468"/>
    </row>
    <row r="14" spans="1:22" s="668" customFormat="1" ht="12.75">
      <c r="A14" s="666"/>
      <c r="B14" s="675"/>
      <c r="D14" s="669"/>
      <c r="E14" s="669"/>
      <c r="F14" s="670"/>
      <c r="G14" s="669"/>
      <c r="H14" s="670"/>
      <c r="I14" s="674"/>
      <c r="J14" s="674"/>
      <c r="K14" s="676"/>
      <c r="N14" s="468"/>
      <c r="O14" s="468"/>
      <c r="P14" s="468"/>
      <c r="Q14" s="468"/>
      <c r="R14" s="468"/>
      <c r="S14" s="468"/>
      <c r="T14" s="468"/>
      <c r="U14" s="468"/>
      <c r="V14" s="468"/>
    </row>
    <row r="15" spans="1:22" s="668" customFormat="1" ht="12.75">
      <c r="A15" s="666">
        <f>+A13+1</f>
        <v>3</v>
      </c>
      <c r="B15" s="675" t="s">
        <v>63</v>
      </c>
      <c r="D15" s="669"/>
      <c r="E15" s="669"/>
      <c r="F15" s="670"/>
      <c r="G15" s="669"/>
      <c r="H15" s="669"/>
      <c r="I15" s="694">
        <v>0</v>
      </c>
      <c r="J15" s="671">
        <f>+I15-K15</f>
        <v>0</v>
      </c>
      <c r="K15" s="694">
        <v>0</v>
      </c>
      <c r="N15" s="468"/>
      <c r="O15" s="468"/>
      <c r="P15" s="468"/>
      <c r="Q15" s="468"/>
      <c r="R15" s="468"/>
      <c r="S15" s="468"/>
      <c r="T15" s="468"/>
      <c r="U15" s="468"/>
      <c r="V15" s="468"/>
    </row>
    <row r="16" spans="1:22" s="668" customFormat="1" ht="12.75">
      <c r="A16" s="666"/>
      <c r="B16" s="670"/>
      <c r="D16" s="669"/>
      <c r="E16" s="669"/>
      <c r="F16" s="670"/>
      <c r="G16" s="676"/>
      <c r="H16" s="670"/>
      <c r="I16" s="674"/>
      <c r="J16" s="674"/>
      <c r="K16" s="674"/>
      <c r="N16" s="468"/>
      <c r="O16" s="468"/>
      <c r="P16" s="468"/>
      <c r="Q16" s="468"/>
      <c r="R16" s="468"/>
      <c r="S16" s="468"/>
      <c r="T16" s="468"/>
      <c r="U16" s="468"/>
      <c r="V16" s="468"/>
    </row>
    <row r="17" spans="1:22" s="668" customFormat="1" ht="12.75">
      <c r="A17" s="666">
        <f>+A15+1</f>
        <v>4</v>
      </c>
      <c r="B17" s="677" t="s">
        <v>64</v>
      </c>
      <c r="D17" s="669"/>
      <c r="E17" s="669"/>
      <c r="F17" s="670"/>
      <c r="G17" s="676"/>
      <c r="H17" s="670"/>
      <c r="I17" s="694">
        <v>0</v>
      </c>
      <c r="J17" s="671">
        <f>+I17-K17</f>
        <v>0</v>
      </c>
      <c r="K17" s="694">
        <v>0</v>
      </c>
      <c r="N17" s="678"/>
      <c r="O17" s="468"/>
      <c r="P17" s="468"/>
      <c r="Q17" s="468"/>
      <c r="R17" s="468"/>
      <c r="S17" s="468"/>
      <c r="T17" s="468"/>
      <c r="U17" s="468"/>
      <c r="V17" s="468"/>
    </row>
    <row r="18" spans="1:22" s="668" customFormat="1" ht="12.75">
      <c r="A18" s="666"/>
      <c r="B18" s="677"/>
      <c r="D18" s="669"/>
      <c r="E18" s="669"/>
      <c r="F18" s="670"/>
      <c r="G18" s="676"/>
      <c r="H18" s="679"/>
      <c r="I18" s="468"/>
      <c r="J18" s="468"/>
      <c r="K18" s="468"/>
      <c r="L18" s="468"/>
      <c r="N18" s="678"/>
      <c r="O18" s="468"/>
      <c r="P18" s="468"/>
      <c r="Q18" s="468"/>
      <c r="R18" s="468"/>
      <c r="S18" s="468"/>
      <c r="T18" s="468"/>
      <c r="U18" s="468"/>
      <c r="V18" s="468"/>
    </row>
    <row r="19" spans="1:22" s="668" customFormat="1" ht="12.75">
      <c r="A19" s="666">
        <f>+A17+1</f>
        <v>5</v>
      </c>
      <c r="B19" s="677" t="s">
        <v>65</v>
      </c>
      <c r="D19" s="669"/>
      <c r="E19" s="669"/>
      <c r="F19" s="670"/>
      <c r="G19" s="676"/>
      <c r="H19" s="670"/>
      <c r="I19" s="694">
        <v>93164</v>
      </c>
      <c r="J19" s="671">
        <f>+I19-K19</f>
        <v>93164</v>
      </c>
      <c r="K19" s="694">
        <v>0</v>
      </c>
      <c r="N19" s="678"/>
      <c r="O19" s="468"/>
      <c r="P19" s="468"/>
      <c r="Q19" s="468"/>
      <c r="R19" s="468"/>
      <c r="S19" s="468"/>
      <c r="T19" s="468"/>
      <c r="U19" s="468"/>
      <c r="V19" s="468"/>
    </row>
    <row r="20" spans="1:22" s="668" customFormat="1" ht="12.75">
      <c r="A20" s="666"/>
      <c r="B20" s="677"/>
      <c r="D20" s="669"/>
      <c r="E20" s="669"/>
      <c r="F20" s="670"/>
      <c r="G20" s="676"/>
      <c r="H20" s="670"/>
      <c r="I20" s="468"/>
      <c r="J20" s="468"/>
      <c r="K20" s="468"/>
      <c r="N20" s="468"/>
      <c r="O20" s="468"/>
      <c r="P20" s="468"/>
      <c r="Q20" s="468"/>
      <c r="R20" s="468"/>
      <c r="S20" s="468"/>
      <c r="T20" s="468"/>
      <c r="U20" s="468"/>
      <c r="V20" s="468"/>
    </row>
    <row r="21" spans="1:22" s="668" customFormat="1" ht="12.75">
      <c r="A21" s="666">
        <f>+A19+1</f>
        <v>6</v>
      </c>
      <c r="B21" s="677" t="s">
        <v>501</v>
      </c>
      <c r="D21" s="669"/>
      <c r="E21" s="669"/>
      <c r="F21" s="670"/>
      <c r="G21" s="676"/>
      <c r="H21" s="670"/>
      <c r="I21" s="680">
        <f>+I19+I17+I15+I13+I11</f>
        <v>93164</v>
      </c>
      <c r="J21" s="680">
        <f>+J19+J17+J15+J13+J11</f>
        <v>93164</v>
      </c>
      <c r="K21" s="681">
        <f>+K19+K17+K15+K13+K11</f>
        <v>0</v>
      </c>
      <c r="N21" s="468"/>
      <c r="O21" s="468"/>
      <c r="P21" s="468"/>
      <c r="Q21" s="468"/>
      <c r="R21" s="468"/>
      <c r="S21" s="468"/>
      <c r="T21" s="468"/>
      <c r="U21" s="468"/>
      <c r="V21" s="468"/>
    </row>
    <row r="22" spans="1:22" s="668" customFormat="1" ht="12.75">
      <c r="A22" s="666"/>
      <c r="B22" s="677"/>
      <c r="D22" s="669"/>
      <c r="E22" s="669"/>
      <c r="F22" s="670"/>
      <c r="G22" s="676"/>
      <c r="H22" s="670"/>
      <c r="I22" s="468"/>
      <c r="J22" s="468"/>
      <c r="K22" s="468"/>
      <c r="N22" s="468"/>
      <c r="O22" s="468"/>
      <c r="P22" s="468"/>
      <c r="Q22" s="468"/>
      <c r="R22" s="468"/>
      <c r="S22" s="468"/>
      <c r="T22" s="468"/>
      <c r="U22" s="468"/>
      <c r="V22" s="468"/>
    </row>
    <row r="23" spans="1:22" s="668" customFormat="1" ht="12.75">
      <c r="A23" s="666">
        <f>+A21+1</f>
        <v>7</v>
      </c>
      <c r="B23" s="1266" t="s">
        <v>66</v>
      </c>
      <c r="C23" s="1230"/>
      <c r="D23" s="1230"/>
      <c r="E23" s="1230"/>
      <c r="F23" s="1230"/>
      <c r="G23" s="1230"/>
      <c r="H23" s="674"/>
      <c r="I23" s="694">
        <v>0</v>
      </c>
      <c r="J23" s="671">
        <f>+I23-K23</f>
        <v>0</v>
      </c>
      <c r="K23" s="694">
        <v>0</v>
      </c>
      <c r="N23" s="468"/>
      <c r="O23" s="468"/>
      <c r="P23" s="468"/>
      <c r="Q23" s="468"/>
      <c r="R23" s="468"/>
      <c r="S23" s="468"/>
      <c r="T23" s="468"/>
      <c r="U23" s="468"/>
      <c r="V23" s="468"/>
    </row>
    <row r="24" spans="1:22" s="668" customFormat="1" ht="12.75">
      <c r="A24" s="666"/>
      <c r="B24" s="1230"/>
      <c r="C24" s="1230"/>
      <c r="D24" s="1230"/>
      <c r="E24" s="1230"/>
      <c r="F24" s="1230"/>
      <c r="G24" s="1230"/>
      <c r="H24" s="670"/>
      <c r="I24" s="679"/>
      <c r="J24" s="670"/>
      <c r="K24" s="682"/>
      <c r="N24" s="468"/>
      <c r="O24" s="468"/>
      <c r="P24" s="468"/>
      <c r="Q24" s="468"/>
      <c r="R24" s="468"/>
      <c r="S24" s="468"/>
      <c r="T24" s="468"/>
      <c r="U24" s="468"/>
      <c r="V24" s="468"/>
    </row>
    <row r="25" spans="1:22" s="668" customFormat="1" ht="12.75">
      <c r="A25" s="666">
        <f>+A23+1</f>
        <v>8</v>
      </c>
      <c r="B25" s="683" t="s">
        <v>762</v>
      </c>
      <c r="D25" s="669"/>
      <c r="E25" s="669"/>
      <c r="F25" s="670"/>
      <c r="G25" s="676"/>
      <c r="H25" s="670"/>
      <c r="I25" s="684">
        <f>+I21+I23</f>
        <v>93164</v>
      </c>
      <c r="J25" s="684">
        <f>+J21+J23</f>
        <v>93164</v>
      </c>
      <c r="K25" s="684">
        <f>+K21+K23</f>
        <v>0</v>
      </c>
      <c r="N25" s="468"/>
      <c r="O25" s="468"/>
      <c r="P25" s="468"/>
      <c r="Q25" s="468"/>
      <c r="R25" s="468"/>
      <c r="S25" s="468"/>
      <c r="T25" s="468"/>
      <c r="U25" s="468"/>
      <c r="V25" s="468"/>
    </row>
    <row r="26" spans="1:22" s="668" customFormat="1" ht="12.75">
      <c r="A26" s="666"/>
      <c r="B26" s="683"/>
      <c r="D26" s="669"/>
      <c r="E26" s="669"/>
      <c r="F26" s="670"/>
      <c r="G26" s="676"/>
      <c r="H26" s="670"/>
      <c r="I26" s="682"/>
      <c r="J26" s="682"/>
      <c r="K26" s="682"/>
      <c r="N26" s="468"/>
      <c r="O26" s="468"/>
      <c r="P26" s="468"/>
      <c r="Q26" s="468"/>
      <c r="R26" s="468"/>
      <c r="S26" s="468"/>
      <c r="T26" s="468"/>
      <c r="U26" s="468"/>
      <c r="V26" s="468"/>
    </row>
    <row r="27" spans="1:22" s="668" customFormat="1" ht="12.75">
      <c r="A27" s="666">
        <v>9</v>
      </c>
      <c r="B27" s="675" t="s">
        <v>838</v>
      </c>
      <c r="D27" s="669"/>
      <c r="E27" s="669"/>
      <c r="F27" s="670"/>
      <c r="G27" s="676"/>
      <c r="H27" s="670"/>
      <c r="I27" s="682"/>
      <c r="J27" s="682"/>
      <c r="K27" s="693">
        <v>0</v>
      </c>
      <c r="N27" s="468"/>
      <c r="O27" s="468"/>
      <c r="P27" s="468"/>
      <c r="Q27" s="468"/>
      <c r="R27" s="468"/>
      <c r="S27" s="468"/>
      <c r="T27" s="468"/>
      <c r="U27" s="468"/>
      <c r="V27" s="468"/>
    </row>
    <row r="28" spans="1:22" s="668" customFormat="1" ht="12.75">
      <c r="A28" s="666"/>
      <c r="B28" s="683"/>
      <c r="D28" s="669"/>
      <c r="E28" s="669"/>
      <c r="F28" s="670"/>
      <c r="G28" s="676"/>
      <c r="H28" s="670"/>
      <c r="I28" s="682"/>
      <c r="J28" s="682"/>
      <c r="K28" s="682"/>
      <c r="N28" s="468"/>
      <c r="O28" s="468"/>
      <c r="P28" s="468"/>
      <c r="Q28" s="468"/>
      <c r="R28" s="468"/>
      <c r="S28" s="468"/>
      <c r="T28" s="468"/>
      <c r="U28" s="468"/>
      <c r="V28" s="468"/>
    </row>
    <row r="29" spans="1:22" ht="15.75">
      <c r="A29" s="685"/>
      <c r="C29" s="664"/>
      <c r="D29" s="655"/>
      <c r="E29" s="655"/>
      <c r="F29" s="659"/>
      <c r="G29" s="686"/>
      <c r="H29" s="659"/>
      <c r="I29" s="687"/>
      <c r="J29" s="659"/>
      <c r="K29" s="659"/>
      <c r="L29" s="659"/>
      <c r="M29" s="688"/>
      <c r="N29" s="555"/>
      <c r="O29" s="658"/>
      <c r="P29" s="658"/>
      <c r="Q29" s="658"/>
      <c r="R29" s="658"/>
      <c r="S29" s="555"/>
      <c r="T29" s="555"/>
      <c r="U29" s="555"/>
      <c r="V29" s="555"/>
    </row>
    <row r="30" spans="1:22" s="668" customFormat="1" ht="12.75">
      <c r="A30" s="339" t="s">
        <v>431</v>
      </c>
      <c r="B30" s="1267" t="str">
        <f>"The total company data on this worksheet comes from the indicated FF1 source, or "&amp;A4&amp;"'s general ledger. The functional amounts identified as transmission revenue also come from the general ledger. "</f>
        <v>The total company data on this worksheet comes from the indicated FF1 source, or AEP APPALACHIAN TRANSMISSION COMPANY's general ledger. The functional amounts identified as transmission revenue also come from the general ledger. </v>
      </c>
      <c r="C30" s="1268"/>
      <c r="D30" s="1268"/>
      <c r="E30" s="1268"/>
      <c r="F30" s="1268"/>
      <c r="G30" s="1268"/>
      <c r="H30" s="1268"/>
      <c r="I30" s="1268"/>
      <c r="J30" s="1268"/>
      <c r="K30" s="468"/>
      <c r="L30" s="468"/>
      <c r="M30" s="468"/>
      <c r="N30" s="468"/>
      <c r="O30" s="468"/>
      <c r="P30" s="468"/>
      <c r="Q30" s="468"/>
      <c r="R30" s="468"/>
      <c r="S30" s="468"/>
      <c r="T30" s="672"/>
      <c r="U30" s="468"/>
      <c r="V30" s="468"/>
    </row>
    <row r="31" spans="1:41" s="668" customFormat="1" ht="12.75">
      <c r="A31" s="468"/>
      <c r="B31" s="1268"/>
      <c r="C31" s="1268"/>
      <c r="D31" s="1268"/>
      <c r="E31" s="1268"/>
      <c r="F31" s="1268"/>
      <c r="G31" s="1268"/>
      <c r="H31" s="1268"/>
      <c r="I31" s="1268"/>
      <c r="J31" s="1268"/>
      <c r="K31" s="468"/>
      <c r="L31" s="502"/>
      <c r="M31" s="689"/>
      <c r="N31" s="689"/>
      <c r="O31" s="689"/>
      <c r="P31" s="689"/>
      <c r="Q31" s="689"/>
      <c r="R31" s="502"/>
      <c r="S31" s="502"/>
      <c r="T31" s="502"/>
      <c r="U31" s="502"/>
      <c r="V31" s="502"/>
      <c r="W31" s="690"/>
      <c r="X31" s="690"/>
      <c r="Y31" s="690"/>
      <c r="Z31" s="690"/>
      <c r="AA31" s="690"/>
      <c r="AB31" s="690"/>
      <c r="AC31" s="690"/>
      <c r="AD31" s="690"/>
      <c r="AE31" s="690"/>
      <c r="AF31" s="690"/>
      <c r="AG31" s="690"/>
      <c r="AH31" s="690"/>
      <c r="AI31" s="690"/>
      <c r="AJ31" s="690"/>
      <c r="AK31" s="690"/>
      <c r="AL31" s="690"/>
      <c r="AM31" s="690"/>
      <c r="AN31" s="690"/>
      <c r="AO31" s="690"/>
    </row>
    <row r="32" spans="1:41" s="668" customFormat="1" ht="12.75">
      <c r="A32" s="468"/>
      <c r="B32" s="1268"/>
      <c r="C32" s="1268"/>
      <c r="D32" s="1268"/>
      <c r="E32" s="1268"/>
      <c r="F32" s="1268"/>
      <c r="G32" s="1268"/>
      <c r="H32" s="1268"/>
      <c r="I32" s="1268"/>
      <c r="J32" s="1268"/>
      <c r="K32" s="689"/>
      <c r="L32" s="502"/>
      <c r="M32" s="689"/>
      <c r="N32" s="689"/>
      <c r="O32" s="689"/>
      <c r="P32" s="689"/>
      <c r="Q32" s="689"/>
      <c r="R32" s="502"/>
      <c r="S32" s="502"/>
      <c r="T32" s="502"/>
      <c r="U32" s="502"/>
      <c r="V32" s="502"/>
      <c r="W32" s="690"/>
      <c r="X32" s="690"/>
      <c r="Y32" s="690"/>
      <c r="Z32" s="690"/>
      <c r="AA32" s="690"/>
      <c r="AB32" s="690"/>
      <c r="AC32" s="690"/>
      <c r="AD32" s="690"/>
      <c r="AE32" s="690"/>
      <c r="AF32" s="690"/>
      <c r="AG32" s="690"/>
      <c r="AH32" s="690"/>
      <c r="AI32" s="690"/>
      <c r="AJ32" s="690"/>
      <c r="AK32" s="690"/>
      <c r="AL32" s="690"/>
      <c r="AM32" s="690"/>
      <c r="AN32" s="690"/>
      <c r="AO32" s="690"/>
    </row>
    <row r="33" spans="1:41" ht="15.75">
      <c r="A33" s="555"/>
      <c r="B33" s="549"/>
      <c r="E33" s="691"/>
      <c r="F33" s="691"/>
      <c r="G33" s="691"/>
      <c r="H33" s="691"/>
      <c r="I33" s="691"/>
      <c r="J33" s="691"/>
      <c r="K33" s="691"/>
      <c r="L33" s="549"/>
      <c r="M33" s="691"/>
      <c r="N33" s="691"/>
      <c r="O33" s="691"/>
      <c r="P33" s="691"/>
      <c r="Q33" s="691"/>
      <c r="R33" s="549"/>
      <c r="S33" s="549"/>
      <c r="T33" s="549"/>
      <c r="U33" s="549"/>
      <c r="V33" s="549"/>
      <c r="W33" s="692"/>
      <c r="X33" s="692"/>
      <c r="Y33" s="692"/>
      <c r="Z33" s="692"/>
      <c r="AA33" s="692"/>
      <c r="AB33" s="692"/>
      <c r="AC33" s="692"/>
      <c r="AD33" s="692"/>
      <c r="AE33" s="692"/>
      <c r="AF33" s="692"/>
      <c r="AG33" s="692"/>
      <c r="AH33" s="692"/>
      <c r="AI33" s="692"/>
      <c r="AJ33" s="692"/>
      <c r="AK33" s="692"/>
      <c r="AL33" s="692"/>
      <c r="AM33" s="692"/>
      <c r="AN33" s="692"/>
      <c r="AO33" s="692"/>
    </row>
    <row r="34" spans="1:41" ht="15.75">
      <c r="A34" s="555"/>
      <c r="B34" s="549"/>
      <c r="E34" s="691"/>
      <c r="F34" s="691"/>
      <c r="G34" s="691"/>
      <c r="H34" s="691"/>
      <c r="I34" s="691"/>
      <c r="J34" s="691"/>
      <c r="K34" s="691"/>
      <c r="L34" s="549"/>
      <c r="M34" s="691"/>
      <c r="N34" s="691"/>
      <c r="O34" s="691"/>
      <c r="P34" s="691"/>
      <c r="Q34" s="691"/>
      <c r="R34" s="549"/>
      <c r="S34" s="549"/>
      <c r="T34" s="549"/>
      <c r="U34" s="549"/>
      <c r="V34" s="549"/>
      <c r="W34" s="692"/>
      <c r="X34" s="692"/>
      <c r="Y34" s="692"/>
      <c r="Z34" s="692"/>
      <c r="AA34" s="692"/>
      <c r="AB34" s="692"/>
      <c r="AC34" s="692"/>
      <c r="AD34" s="692"/>
      <c r="AE34" s="692"/>
      <c r="AF34" s="692"/>
      <c r="AG34" s="692"/>
      <c r="AH34" s="692"/>
      <c r="AI34" s="692"/>
      <c r="AJ34" s="692"/>
      <c r="AK34" s="692"/>
      <c r="AL34" s="692"/>
      <c r="AM34" s="692"/>
      <c r="AN34" s="692"/>
      <c r="AO34" s="692"/>
    </row>
    <row r="35" spans="1:41" ht="15.75">
      <c r="A35" s="555"/>
      <c r="B35" s="549"/>
      <c r="E35" s="691"/>
      <c r="F35" s="691"/>
      <c r="G35" s="691"/>
      <c r="H35" s="691"/>
      <c r="I35" s="691"/>
      <c r="J35" s="691"/>
      <c r="K35" s="691"/>
      <c r="L35" s="549"/>
      <c r="M35" s="691"/>
      <c r="N35" s="691"/>
      <c r="O35" s="691"/>
      <c r="P35" s="691"/>
      <c r="Q35" s="691"/>
      <c r="R35" s="549"/>
      <c r="S35" s="549"/>
      <c r="T35" s="549"/>
      <c r="U35" s="549"/>
      <c r="V35" s="549"/>
      <c r="W35" s="692"/>
      <c r="X35" s="692"/>
      <c r="Y35" s="692"/>
      <c r="Z35" s="692"/>
      <c r="AA35" s="692"/>
      <c r="AB35" s="692"/>
      <c r="AC35" s="692"/>
      <c r="AD35" s="692"/>
      <c r="AE35" s="692"/>
      <c r="AF35" s="692"/>
      <c r="AG35" s="692"/>
      <c r="AH35" s="692"/>
      <c r="AI35" s="692"/>
      <c r="AJ35" s="692"/>
      <c r="AK35" s="692"/>
      <c r="AL35" s="692"/>
      <c r="AM35" s="692"/>
      <c r="AN35" s="692"/>
      <c r="AO35" s="692"/>
    </row>
    <row r="36" spans="1:41" ht="15.75">
      <c r="A36" s="555"/>
      <c r="B36" s="549"/>
      <c r="E36" s="691"/>
      <c r="F36" s="691"/>
      <c r="G36" s="691"/>
      <c r="H36" s="691"/>
      <c r="I36" s="691"/>
      <c r="J36" s="691"/>
      <c r="K36" s="691"/>
      <c r="L36" s="549"/>
      <c r="M36" s="691"/>
      <c r="N36" s="691"/>
      <c r="O36" s="691"/>
      <c r="P36" s="691"/>
      <c r="Q36" s="691"/>
      <c r="R36" s="549"/>
      <c r="S36" s="549"/>
      <c r="T36" s="549"/>
      <c r="U36" s="549"/>
      <c r="V36" s="549"/>
      <c r="W36" s="692"/>
      <c r="X36" s="692"/>
      <c r="Y36" s="692"/>
      <c r="Z36" s="692"/>
      <c r="AA36" s="692"/>
      <c r="AB36" s="692"/>
      <c r="AC36" s="692"/>
      <c r="AD36" s="692"/>
      <c r="AE36" s="692"/>
      <c r="AF36" s="692"/>
      <c r="AG36" s="692"/>
      <c r="AH36" s="692"/>
      <c r="AI36" s="692"/>
      <c r="AJ36" s="692"/>
      <c r="AK36" s="692"/>
      <c r="AL36" s="692"/>
      <c r="AM36" s="692"/>
      <c r="AN36" s="692"/>
      <c r="AO36" s="692"/>
    </row>
    <row r="37" spans="1:41" ht="15.75">
      <c r="A37" s="555"/>
      <c r="B37" s="549"/>
      <c r="E37" s="691"/>
      <c r="F37" s="691"/>
      <c r="G37" s="691"/>
      <c r="H37" s="691"/>
      <c r="I37" s="691"/>
      <c r="J37" s="691"/>
      <c r="K37" s="691"/>
      <c r="L37" s="549"/>
      <c r="M37" s="691"/>
      <c r="N37" s="691"/>
      <c r="O37" s="691"/>
      <c r="P37" s="691"/>
      <c r="Q37" s="691"/>
      <c r="R37" s="549"/>
      <c r="S37" s="549"/>
      <c r="T37" s="549"/>
      <c r="U37" s="549"/>
      <c r="V37" s="549"/>
      <c r="W37" s="692"/>
      <c r="X37" s="692"/>
      <c r="Y37" s="692"/>
      <c r="Z37" s="692"/>
      <c r="AA37" s="692"/>
      <c r="AB37" s="692"/>
      <c r="AC37" s="692"/>
      <c r="AD37" s="692"/>
      <c r="AE37" s="692"/>
      <c r="AF37" s="692"/>
      <c r="AG37" s="692"/>
      <c r="AH37" s="692"/>
      <c r="AI37" s="692"/>
      <c r="AJ37" s="692"/>
      <c r="AK37" s="692"/>
      <c r="AL37" s="692"/>
      <c r="AM37" s="692"/>
      <c r="AN37" s="692"/>
      <c r="AO37" s="692"/>
    </row>
    <row r="38" spans="1:41" ht="15.75">
      <c r="A38" s="555"/>
      <c r="B38" s="549"/>
      <c r="E38" s="691"/>
      <c r="F38" s="691"/>
      <c r="G38" s="691"/>
      <c r="H38" s="691"/>
      <c r="I38" s="691"/>
      <c r="J38" s="691"/>
      <c r="K38" s="691"/>
      <c r="L38" s="549"/>
      <c r="M38" s="691"/>
      <c r="N38" s="691"/>
      <c r="O38" s="691"/>
      <c r="P38" s="691"/>
      <c r="Q38" s="691"/>
      <c r="R38" s="549"/>
      <c r="S38" s="549"/>
      <c r="T38" s="549"/>
      <c r="U38" s="549"/>
      <c r="V38" s="549"/>
      <c r="W38" s="692"/>
      <c r="X38" s="692"/>
      <c r="Y38" s="692"/>
      <c r="Z38" s="692"/>
      <c r="AA38" s="692"/>
      <c r="AB38" s="692"/>
      <c r="AC38" s="692"/>
      <c r="AD38" s="692"/>
      <c r="AE38" s="692"/>
      <c r="AF38" s="692"/>
      <c r="AG38" s="692"/>
      <c r="AH38" s="692"/>
      <c r="AI38" s="692"/>
      <c r="AJ38" s="692"/>
      <c r="AK38" s="692"/>
      <c r="AL38" s="692"/>
      <c r="AM38" s="692"/>
      <c r="AN38" s="692"/>
      <c r="AO38" s="692"/>
    </row>
    <row r="39" spans="1:41" ht="15.75">
      <c r="A39" s="555"/>
      <c r="B39" s="549"/>
      <c r="E39" s="691"/>
      <c r="F39" s="691"/>
      <c r="G39" s="691"/>
      <c r="H39" s="691"/>
      <c r="I39" s="691"/>
      <c r="J39" s="691"/>
      <c r="K39" s="691"/>
      <c r="L39" s="549"/>
      <c r="M39" s="691"/>
      <c r="N39" s="691"/>
      <c r="O39" s="691"/>
      <c r="P39" s="691"/>
      <c r="Q39" s="691"/>
      <c r="R39" s="549"/>
      <c r="S39" s="549"/>
      <c r="T39" s="549"/>
      <c r="U39" s="549"/>
      <c r="V39" s="549"/>
      <c r="W39" s="692"/>
      <c r="X39" s="692"/>
      <c r="Y39" s="692"/>
      <c r="Z39" s="692"/>
      <c r="AA39" s="692"/>
      <c r="AB39" s="692"/>
      <c r="AC39" s="692"/>
      <c r="AD39" s="692"/>
      <c r="AE39" s="692"/>
      <c r="AF39" s="692"/>
      <c r="AG39" s="692"/>
      <c r="AH39" s="692"/>
      <c r="AI39" s="692"/>
      <c r="AJ39" s="692"/>
      <c r="AK39" s="692"/>
      <c r="AL39" s="692"/>
      <c r="AM39" s="692"/>
      <c r="AN39" s="692"/>
      <c r="AO39" s="692"/>
    </row>
    <row r="40" spans="1:41" ht="15.75">
      <c r="A40" s="555"/>
      <c r="B40" s="549"/>
      <c r="E40" s="691"/>
      <c r="F40" s="691"/>
      <c r="G40" s="691"/>
      <c r="H40" s="691"/>
      <c r="I40" s="691"/>
      <c r="J40" s="691"/>
      <c r="K40" s="691"/>
      <c r="L40" s="549"/>
      <c r="M40" s="691"/>
      <c r="N40" s="691"/>
      <c r="O40" s="691"/>
      <c r="P40" s="691"/>
      <c r="Q40" s="691"/>
      <c r="R40" s="549"/>
      <c r="S40" s="549"/>
      <c r="T40" s="549"/>
      <c r="U40" s="549"/>
      <c r="V40" s="549"/>
      <c r="W40" s="692"/>
      <c r="X40" s="692"/>
      <c r="Y40" s="692"/>
      <c r="Z40" s="692"/>
      <c r="AA40" s="692"/>
      <c r="AB40" s="692"/>
      <c r="AC40" s="692"/>
      <c r="AD40" s="692"/>
      <c r="AE40" s="692"/>
      <c r="AF40" s="692"/>
      <c r="AG40" s="692"/>
      <c r="AH40" s="692"/>
      <c r="AI40" s="692"/>
      <c r="AJ40" s="692"/>
      <c r="AK40" s="692"/>
      <c r="AL40" s="692"/>
      <c r="AM40" s="692"/>
      <c r="AN40" s="692"/>
      <c r="AO40" s="692"/>
    </row>
    <row r="41" spans="1:41" ht="15.75">
      <c r="A41" s="555"/>
      <c r="B41" s="549"/>
      <c r="E41" s="691"/>
      <c r="F41" s="691"/>
      <c r="G41" s="691"/>
      <c r="H41" s="691"/>
      <c r="I41" s="691"/>
      <c r="J41" s="691"/>
      <c r="K41" s="691"/>
      <c r="L41" s="549"/>
      <c r="M41" s="691"/>
      <c r="N41" s="691"/>
      <c r="O41" s="691"/>
      <c r="P41" s="691"/>
      <c r="Q41" s="691"/>
      <c r="R41" s="549"/>
      <c r="S41" s="549"/>
      <c r="T41" s="549"/>
      <c r="U41" s="549"/>
      <c r="V41" s="549"/>
      <c r="W41" s="692"/>
      <c r="X41" s="692"/>
      <c r="Y41" s="692"/>
      <c r="Z41" s="692"/>
      <c r="AA41" s="692"/>
      <c r="AB41" s="692"/>
      <c r="AC41" s="692"/>
      <c r="AD41" s="692"/>
      <c r="AE41" s="692"/>
      <c r="AF41" s="692"/>
      <c r="AG41" s="692"/>
      <c r="AH41" s="692"/>
      <c r="AI41" s="692"/>
      <c r="AJ41" s="692"/>
      <c r="AK41" s="692"/>
      <c r="AL41" s="692"/>
      <c r="AM41" s="692"/>
      <c r="AN41" s="692"/>
      <c r="AO41" s="692"/>
    </row>
    <row r="42" spans="1:41" ht="15.75">
      <c r="A42" s="555"/>
      <c r="B42" s="549"/>
      <c r="E42" s="691"/>
      <c r="F42" s="691"/>
      <c r="G42" s="691"/>
      <c r="H42" s="691"/>
      <c r="I42" s="691"/>
      <c r="J42" s="691"/>
      <c r="K42" s="691"/>
      <c r="L42" s="549"/>
      <c r="M42" s="691"/>
      <c r="N42" s="691"/>
      <c r="O42" s="691"/>
      <c r="P42" s="691"/>
      <c r="Q42" s="691"/>
      <c r="R42" s="549"/>
      <c r="S42" s="549"/>
      <c r="T42" s="549"/>
      <c r="U42" s="549"/>
      <c r="V42" s="549"/>
      <c r="W42" s="692"/>
      <c r="X42" s="692"/>
      <c r="Y42" s="692"/>
      <c r="Z42" s="692"/>
      <c r="AA42" s="692"/>
      <c r="AB42" s="692"/>
      <c r="AC42" s="692"/>
      <c r="AD42" s="692"/>
      <c r="AE42" s="692"/>
      <c r="AF42" s="692"/>
      <c r="AG42" s="692"/>
      <c r="AH42" s="692"/>
      <c r="AI42" s="692"/>
      <c r="AJ42" s="692"/>
      <c r="AK42" s="692"/>
      <c r="AL42" s="692"/>
      <c r="AM42" s="692"/>
      <c r="AN42" s="692"/>
      <c r="AO42" s="692"/>
    </row>
    <row r="43" spans="9:41" ht="15.75">
      <c r="I43" s="691"/>
      <c r="J43" s="691"/>
      <c r="K43" s="691"/>
      <c r="L43" s="549"/>
      <c r="M43" s="691"/>
      <c r="N43" s="691"/>
      <c r="O43" s="691"/>
      <c r="P43" s="691"/>
      <c r="Q43" s="691"/>
      <c r="R43" s="549"/>
      <c r="S43" s="549"/>
      <c r="T43" s="549"/>
      <c r="U43" s="549"/>
      <c r="V43" s="549"/>
      <c r="W43" s="692"/>
      <c r="X43" s="692"/>
      <c r="Y43" s="692"/>
      <c r="Z43" s="692"/>
      <c r="AA43" s="692"/>
      <c r="AB43" s="692"/>
      <c r="AC43" s="692"/>
      <c r="AD43" s="692"/>
      <c r="AE43" s="692"/>
      <c r="AF43" s="692"/>
      <c r="AG43" s="692"/>
      <c r="AH43" s="692"/>
      <c r="AI43" s="692"/>
      <c r="AJ43" s="692"/>
      <c r="AK43" s="692"/>
      <c r="AL43" s="692"/>
      <c r="AM43" s="692"/>
      <c r="AN43" s="692"/>
      <c r="AO43" s="692"/>
    </row>
    <row r="44" spans="1:41" ht="15.75">
      <c r="A44" s="555"/>
      <c r="B44" s="549"/>
      <c r="E44" s="691"/>
      <c r="F44" s="691"/>
      <c r="G44" s="691"/>
      <c r="H44" s="691"/>
      <c r="I44" s="691"/>
      <c r="J44" s="691"/>
      <c r="K44" s="691"/>
      <c r="L44" s="549"/>
      <c r="M44" s="691"/>
      <c r="N44" s="691"/>
      <c r="O44" s="691"/>
      <c r="P44" s="691"/>
      <c r="Q44" s="691"/>
      <c r="R44" s="549"/>
      <c r="S44" s="549"/>
      <c r="T44" s="549"/>
      <c r="U44" s="549"/>
      <c r="V44" s="549"/>
      <c r="W44" s="692"/>
      <c r="X44" s="692"/>
      <c r="Y44" s="692"/>
      <c r="Z44" s="692"/>
      <c r="AA44" s="692"/>
      <c r="AB44" s="692"/>
      <c r="AC44" s="692"/>
      <c r="AD44" s="692"/>
      <c r="AE44" s="692"/>
      <c r="AF44" s="692"/>
      <c r="AG44" s="692"/>
      <c r="AH44" s="692"/>
      <c r="AI44" s="692"/>
      <c r="AJ44" s="692"/>
      <c r="AK44" s="692"/>
      <c r="AL44" s="692"/>
      <c r="AM44" s="692"/>
      <c r="AN44" s="692"/>
      <c r="AO44" s="692"/>
    </row>
    <row r="45" spans="1:41" ht="15.75">
      <c r="A45" s="555"/>
      <c r="B45" s="549"/>
      <c r="E45" s="691"/>
      <c r="F45" s="691"/>
      <c r="G45" s="691"/>
      <c r="H45" s="691"/>
      <c r="I45" s="691"/>
      <c r="J45" s="691"/>
      <c r="K45" s="691"/>
      <c r="L45" s="549"/>
      <c r="M45" s="691"/>
      <c r="N45" s="691"/>
      <c r="O45" s="691"/>
      <c r="P45" s="691"/>
      <c r="Q45" s="691"/>
      <c r="R45" s="549"/>
      <c r="S45" s="549"/>
      <c r="T45" s="549"/>
      <c r="U45" s="549"/>
      <c r="V45" s="549"/>
      <c r="W45" s="692"/>
      <c r="X45" s="692"/>
      <c r="Y45" s="692"/>
      <c r="Z45" s="692"/>
      <c r="AA45" s="692"/>
      <c r="AB45" s="692"/>
      <c r="AC45" s="692"/>
      <c r="AD45" s="692"/>
      <c r="AE45" s="692"/>
      <c r="AF45" s="692"/>
      <c r="AG45" s="692"/>
      <c r="AH45" s="692"/>
      <c r="AI45" s="692"/>
      <c r="AJ45" s="692"/>
      <c r="AK45" s="692"/>
      <c r="AL45" s="692"/>
      <c r="AM45" s="692"/>
      <c r="AN45" s="692"/>
      <c r="AO45" s="692"/>
    </row>
    <row r="46" spans="1:41" ht="15.75">
      <c r="A46" s="555"/>
      <c r="B46" s="549"/>
      <c r="E46" s="691"/>
      <c r="F46" s="691"/>
      <c r="G46" s="691"/>
      <c r="H46" s="691"/>
      <c r="I46" s="691"/>
      <c r="J46" s="691"/>
      <c r="K46" s="691"/>
      <c r="L46" s="549"/>
      <c r="M46" s="691"/>
      <c r="N46" s="691"/>
      <c r="O46" s="691"/>
      <c r="P46" s="691"/>
      <c r="Q46" s="691"/>
      <c r="R46" s="549"/>
      <c r="S46" s="549"/>
      <c r="T46" s="549"/>
      <c r="U46" s="549"/>
      <c r="V46" s="549"/>
      <c r="W46" s="692"/>
      <c r="X46" s="692"/>
      <c r="Y46" s="692"/>
      <c r="Z46" s="692"/>
      <c r="AA46" s="692"/>
      <c r="AB46" s="692"/>
      <c r="AC46" s="692"/>
      <c r="AD46" s="692"/>
      <c r="AE46" s="692"/>
      <c r="AF46" s="692"/>
      <c r="AG46" s="692"/>
      <c r="AH46" s="692"/>
      <c r="AI46" s="692"/>
      <c r="AJ46" s="692"/>
      <c r="AK46" s="692"/>
      <c r="AL46" s="692"/>
      <c r="AM46" s="692"/>
      <c r="AN46" s="692"/>
      <c r="AO46" s="692"/>
    </row>
    <row r="47" spans="1:41" ht="15.75">
      <c r="A47" s="555"/>
      <c r="B47" s="549"/>
      <c r="E47" s="691"/>
      <c r="F47" s="691"/>
      <c r="G47" s="691"/>
      <c r="H47" s="691"/>
      <c r="I47" s="691"/>
      <c r="J47" s="691"/>
      <c r="K47" s="691"/>
      <c r="L47" s="549"/>
      <c r="M47" s="691"/>
      <c r="N47" s="691"/>
      <c r="O47" s="691"/>
      <c r="P47" s="691"/>
      <c r="Q47" s="691"/>
      <c r="R47" s="549"/>
      <c r="S47" s="549"/>
      <c r="T47" s="549"/>
      <c r="U47" s="549"/>
      <c r="V47" s="549"/>
      <c r="W47" s="692"/>
      <c r="X47" s="692"/>
      <c r="Y47" s="692"/>
      <c r="Z47" s="692"/>
      <c r="AA47" s="692"/>
      <c r="AB47" s="692"/>
      <c r="AC47" s="692"/>
      <c r="AD47" s="692"/>
      <c r="AE47" s="692"/>
      <c r="AF47" s="692"/>
      <c r="AG47" s="692"/>
      <c r="AH47" s="692"/>
      <c r="AI47" s="692"/>
      <c r="AJ47" s="692"/>
      <c r="AK47" s="692"/>
      <c r="AL47" s="692"/>
      <c r="AM47" s="692"/>
      <c r="AN47" s="692"/>
      <c r="AO47" s="692"/>
    </row>
    <row r="48" spans="1:41" ht="15.75">
      <c r="A48" s="555"/>
      <c r="B48" s="549"/>
      <c r="E48" s="691"/>
      <c r="F48" s="691"/>
      <c r="G48" s="691"/>
      <c r="H48" s="691"/>
      <c r="I48" s="691"/>
      <c r="J48" s="691"/>
      <c r="K48" s="691"/>
      <c r="L48" s="549"/>
      <c r="M48" s="691"/>
      <c r="N48" s="691"/>
      <c r="O48" s="691"/>
      <c r="P48" s="691"/>
      <c r="Q48" s="691"/>
      <c r="R48" s="549"/>
      <c r="S48" s="549"/>
      <c r="T48" s="549"/>
      <c r="U48" s="549"/>
      <c r="V48" s="549"/>
      <c r="W48" s="692"/>
      <c r="X48" s="692"/>
      <c r="Y48" s="692"/>
      <c r="Z48" s="692"/>
      <c r="AA48" s="692"/>
      <c r="AB48" s="692"/>
      <c r="AC48" s="692"/>
      <c r="AD48" s="692"/>
      <c r="AE48" s="692"/>
      <c r="AF48" s="692"/>
      <c r="AG48" s="692"/>
      <c r="AH48" s="692"/>
      <c r="AI48" s="692"/>
      <c r="AJ48" s="692"/>
      <c r="AK48" s="692"/>
      <c r="AL48" s="692"/>
      <c r="AM48" s="692"/>
      <c r="AN48" s="692"/>
      <c r="AO48" s="692"/>
    </row>
    <row r="49" spans="1:41" ht="15.75">
      <c r="A49" s="555"/>
      <c r="B49" s="549"/>
      <c r="E49" s="691"/>
      <c r="F49" s="691"/>
      <c r="G49" s="691"/>
      <c r="H49" s="691"/>
      <c r="I49" s="691"/>
      <c r="J49" s="691"/>
      <c r="K49" s="691"/>
      <c r="L49" s="549"/>
      <c r="M49" s="691"/>
      <c r="N49" s="691"/>
      <c r="O49" s="691"/>
      <c r="P49" s="691"/>
      <c r="Q49" s="691"/>
      <c r="R49" s="549"/>
      <c r="S49" s="549"/>
      <c r="T49" s="549"/>
      <c r="U49" s="549"/>
      <c r="V49" s="549"/>
      <c r="W49" s="692"/>
      <c r="X49" s="692"/>
      <c r="Y49" s="692"/>
      <c r="Z49" s="692"/>
      <c r="AA49" s="692"/>
      <c r="AB49" s="692"/>
      <c r="AC49" s="692"/>
      <c r="AD49" s="692"/>
      <c r="AE49" s="692"/>
      <c r="AF49" s="692"/>
      <c r="AG49" s="692"/>
      <c r="AH49" s="692"/>
      <c r="AI49" s="692"/>
      <c r="AJ49" s="692"/>
      <c r="AK49" s="692"/>
      <c r="AL49" s="692"/>
      <c r="AM49" s="692"/>
      <c r="AN49" s="692"/>
      <c r="AO49" s="692"/>
    </row>
    <row r="50" spans="1:41" ht="15.75">
      <c r="A50" s="555"/>
      <c r="B50" s="549"/>
      <c r="E50" s="691"/>
      <c r="F50" s="691"/>
      <c r="G50" s="691"/>
      <c r="H50" s="691"/>
      <c r="I50" s="691"/>
      <c r="J50" s="691"/>
      <c r="K50" s="691"/>
      <c r="L50" s="549"/>
      <c r="M50" s="691"/>
      <c r="N50" s="691"/>
      <c r="O50" s="691"/>
      <c r="P50" s="691"/>
      <c r="Q50" s="691"/>
      <c r="R50" s="549"/>
      <c r="S50" s="549"/>
      <c r="T50" s="549"/>
      <c r="U50" s="549"/>
      <c r="V50" s="549"/>
      <c r="W50" s="692"/>
      <c r="X50" s="692"/>
      <c r="Y50" s="692"/>
      <c r="Z50" s="692"/>
      <c r="AA50" s="692"/>
      <c r="AB50" s="692"/>
      <c r="AC50" s="692"/>
      <c r="AD50" s="692"/>
      <c r="AE50" s="692"/>
      <c r="AF50" s="692"/>
      <c r="AG50" s="692"/>
      <c r="AH50" s="692"/>
      <c r="AI50" s="692"/>
      <c r="AJ50" s="692"/>
      <c r="AK50" s="692"/>
      <c r="AL50" s="692"/>
      <c r="AM50" s="692"/>
      <c r="AN50" s="692"/>
      <c r="AO50" s="692"/>
    </row>
    <row r="51" spans="1:41" ht="15.75">
      <c r="A51" s="555"/>
      <c r="B51" s="549"/>
      <c r="E51" s="691"/>
      <c r="F51" s="691"/>
      <c r="G51" s="691"/>
      <c r="H51" s="691"/>
      <c r="I51" s="691"/>
      <c r="J51" s="691"/>
      <c r="K51" s="691"/>
      <c r="L51" s="549"/>
      <c r="M51" s="691"/>
      <c r="N51" s="691"/>
      <c r="O51" s="691"/>
      <c r="P51" s="691"/>
      <c r="Q51" s="691"/>
      <c r="R51" s="549"/>
      <c r="S51" s="549"/>
      <c r="T51" s="549"/>
      <c r="U51" s="549"/>
      <c r="V51" s="549"/>
      <c r="W51" s="692"/>
      <c r="X51" s="692"/>
      <c r="Y51" s="692"/>
      <c r="Z51" s="692"/>
      <c r="AA51" s="692"/>
      <c r="AB51" s="692"/>
      <c r="AC51" s="692"/>
      <c r="AD51" s="692"/>
      <c r="AE51" s="692"/>
      <c r="AF51" s="692"/>
      <c r="AG51" s="692"/>
      <c r="AH51" s="692"/>
      <c r="AI51" s="692"/>
      <c r="AJ51" s="692"/>
      <c r="AK51" s="692"/>
      <c r="AL51" s="692"/>
      <c r="AM51" s="692"/>
      <c r="AN51" s="692"/>
      <c r="AO51" s="692"/>
    </row>
    <row r="52" spans="1:41" ht="15.75">
      <c r="A52" s="555"/>
      <c r="B52" s="549"/>
      <c r="E52" s="691"/>
      <c r="F52" s="691"/>
      <c r="G52" s="691"/>
      <c r="H52" s="691"/>
      <c r="I52" s="691"/>
      <c r="J52" s="691"/>
      <c r="K52" s="691"/>
      <c r="L52" s="549"/>
      <c r="M52" s="691"/>
      <c r="N52" s="691"/>
      <c r="O52" s="691"/>
      <c r="P52" s="691"/>
      <c r="Q52" s="691"/>
      <c r="R52" s="549"/>
      <c r="S52" s="549"/>
      <c r="T52" s="549"/>
      <c r="U52" s="549"/>
      <c r="V52" s="549"/>
      <c r="W52" s="692"/>
      <c r="X52" s="692"/>
      <c r="Y52" s="692"/>
      <c r="Z52" s="692"/>
      <c r="AA52" s="692"/>
      <c r="AB52" s="692"/>
      <c r="AC52" s="692"/>
      <c r="AD52" s="692"/>
      <c r="AE52" s="692"/>
      <c r="AF52" s="692"/>
      <c r="AG52" s="692"/>
      <c r="AH52" s="692"/>
      <c r="AI52" s="692"/>
      <c r="AJ52" s="692"/>
      <c r="AK52" s="692"/>
      <c r="AL52" s="692"/>
      <c r="AM52" s="692"/>
      <c r="AN52" s="692"/>
      <c r="AO52" s="692"/>
    </row>
    <row r="53" spans="1:41" ht="15.75">
      <c r="A53" s="555"/>
      <c r="B53" s="549"/>
      <c r="E53" s="691"/>
      <c r="F53" s="691"/>
      <c r="G53" s="691"/>
      <c r="H53" s="691"/>
      <c r="I53" s="691"/>
      <c r="J53" s="691"/>
      <c r="K53" s="691"/>
      <c r="L53" s="549"/>
      <c r="M53" s="691"/>
      <c r="N53" s="691"/>
      <c r="O53" s="691"/>
      <c r="P53" s="691"/>
      <c r="Q53" s="691"/>
      <c r="R53" s="549"/>
      <c r="S53" s="549"/>
      <c r="T53" s="549"/>
      <c r="U53" s="549"/>
      <c r="V53" s="549"/>
      <c r="W53" s="692"/>
      <c r="X53" s="692"/>
      <c r="Y53" s="692"/>
      <c r="Z53" s="692"/>
      <c r="AA53" s="692"/>
      <c r="AB53" s="692"/>
      <c r="AC53" s="692"/>
      <c r="AD53" s="692"/>
      <c r="AE53" s="692"/>
      <c r="AF53" s="692"/>
      <c r="AG53" s="692"/>
      <c r="AH53" s="692"/>
      <c r="AI53" s="692"/>
      <c r="AJ53" s="692"/>
      <c r="AK53" s="692"/>
      <c r="AL53" s="692"/>
      <c r="AM53" s="692"/>
      <c r="AN53" s="692"/>
      <c r="AO53" s="692"/>
    </row>
    <row r="54" spans="1:41" ht="15.75">
      <c r="A54" s="555"/>
      <c r="B54" s="549"/>
      <c r="E54" s="691"/>
      <c r="F54" s="691"/>
      <c r="G54" s="691"/>
      <c r="H54" s="691"/>
      <c r="I54" s="691"/>
      <c r="J54" s="691"/>
      <c r="K54" s="691"/>
      <c r="L54" s="549"/>
      <c r="M54" s="691"/>
      <c r="N54" s="691"/>
      <c r="O54" s="691"/>
      <c r="P54" s="691"/>
      <c r="Q54" s="691"/>
      <c r="R54" s="549"/>
      <c r="S54" s="549"/>
      <c r="T54" s="549"/>
      <c r="U54" s="549"/>
      <c r="V54" s="549"/>
      <c r="W54" s="692"/>
      <c r="X54" s="692"/>
      <c r="Y54" s="692"/>
      <c r="Z54" s="692"/>
      <c r="AA54" s="692"/>
      <c r="AB54" s="692"/>
      <c r="AC54" s="692"/>
      <c r="AD54" s="692"/>
      <c r="AE54" s="692"/>
      <c r="AF54" s="692"/>
      <c r="AG54" s="692"/>
      <c r="AH54" s="692"/>
      <c r="AI54" s="692"/>
      <c r="AJ54" s="692"/>
      <c r="AK54" s="692"/>
      <c r="AL54" s="692"/>
      <c r="AM54" s="692"/>
      <c r="AN54" s="692"/>
      <c r="AO54" s="692"/>
    </row>
    <row r="55" spans="1:41" ht="15.75">
      <c r="A55" s="555"/>
      <c r="B55" s="549"/>
      <c r="E55" s="691"/>
      <c r="F55" s="691"/>
      <c r="G55" s="691"/>
      <c r="H55" s="691"/>
      <c r="I55" s="691"/>
      <c r="J55" s="691"/>
      <c r="K55" s="691"/>
      <c r="L55" s="549"/>
      <c r="M55" s="691"/>
      <c r="N55" s="691"/>
      <c r="O55" s="691"/>
      <c r="P55" s="691"/>
      <c r="Q55" s="691"/>
      <c r="R55" s="549"/>
      <c r="S55" s="549"/>
      <c r="T55" s="549"/>
      <c r="U55" s="549"/>
      <c r="V55" s="549"/>
      <c r="W55" s="692"/>
      <c r="X55" s="692"/>
      <c r="Y55" s="692"/>
      <c r="Z55" s="692"/>
      <c r="AA55" s="692"/>
      <c r="AB55" s="692"/>
      <c r="AC55" s="692"/>
      <c r="AD55" s="692"/>
      <c r="AE55" s="692"/>
      <c r="AF55" s="692"/>
      <c r="AG55" s="692"/>
      <c r="AH55" s="692"/>
      <c r="AI55" s="692"/>
      <c r="AJ55" s="692"/>
      <c r="AK55" s="692"/>
      <c r="AL55" s="692"/>
      <c r="AM55" s="692"/>
      <c r="AN55" s="692"/>
      <c r="AO55" s="692"/>
    </row>
    <row r="56" spans="1:41" ht="15.75">
      <c r="A56" s="555"/>
      <c r="B56" s="549"/>
      <c r="E56" s="691"/>
      <c r="F56" s="691"/>
      <c r="G56" s="691"/>
      <c r="H56" s="691"/>
      <c r="I56" s="691"/>
      <c r="J56" s="691"/>
      <c r="K56" s="691"/>
      <c r="L56" s="549"/>
      <c r="M56" s="691"/>
      <c r="N56" s="691"/>
      <c r="O56" s="691"/>
      <c r="P56" s="691"/>
      <c r="Q56" s="691"/>
      <c r="R56" s="549"/>
      <c r="S56" s="549"/>
      <c r="T56" s="549"/>
      <c r="U56" s="549"/>
      <c r="V56" s="549"/>
      <c r="W56" s="692"/>
      <c r="X56" s="692"/>
      <c r="Y56" s="692"/>
      <c r="Z56" s="692"/>
      <c r="AA56" s="692"/>
      <c r="AB56" s="692"/>
      <c r="AC56" s="692"/>
      <c r="AD56" s="692"/>
      <c r="AE56" s="692"/>
      <c r="AF56" s="692"/>
      <c r="AG56" s="692"/>
      <c r="AH56" s="692"/>
      <c r="AI56" s="692"/>
      <c r="AJ56" s="692"/>
      <c r="AK56" s="692"/>
      <c r="AL56" s="692"/>
      <c r="AM56" s="692"/>
      <c r="AN56" s="692"/>
      <c r="AO56" s="692"/>
    </row>
    <row r="57" spans="1:41" ht="15.75">
      <c r="A57" s="555"/>
      <c r="B57" s="549"/>
      <c r="E57" s="691"/>
      <c r="F57" s="691"/>
      <c r="G57" s="691"/>
      <c r="H57" s="691"/>
      <c r="I57" s="691"/>
      <c r="J57" s="691"/>
      <c r="K57" s="691"/>
      <c r="L57" s="549"/>
      <c r="M57" s="691"/>
      <c r="N57" s="691"/>
      <c r="O57" s="691"/>
      <c r="P57" s="691"/>
      <c r="Q57" s="691"/>
      <c r="R57" s="549"/>
      <c r="S57" s="549"/>
      <c r="T57" s="549"/>
      <c r="U57" s="549"/>
      <c r="V57" s="549"/>
      <c r="W57" s="692"/>
      <c r="X57" s="692"/>
      <c r="Y57" s="692"/>
      <c r="Z57" s="692"/>
      <c r="AA57" s="692"/>
      <c r="AB57" s="692"/>
      <c r="AC57" s="692"/>
      <c r="AD57" s="692"/>
      <c r="AE57" s="692"/>
      <c r="AF57" s="692"/>
      <c r="AG57" s="692"/>
      <c r="AH57" s="692"/>
      <c r="AI57" s="692"/>
      <c r="AJ57" s="692"/>
      <c r="AK57" s="692"/>
      <c r="AL57" s="692"/>
      <c r="AM57" s="692"/>
      <c r="AN57" s="692"/>
      <c r="AO57" s="692"/>
    </row>
    <row r="58" spans="1:41" ht="15.75">
      <c r="A58" s="555"/>
      <c r="B58" s="549"/>
      <c r="E58" s="691"/>
      <c r="F58" s="691"/>
      <c r="G58" s="691"/>
      <c r="H58" s="691"/>
      <c r="I58" s="691"/>
      <c r="J58" s="691"/>
      <c r="K58" s="691"/>
      <c r="L58" s="549"/>
      <c r="M58" s="691"/>
      <c r="N58" s="691"/>
      <c r="O58" s="691"/>
      <c r="P58" s="691"/>
      <c r="Q58" s="691"/>
      <c r="R58" s="549"/>
      <c r="S58" s="549"/>
      <c r="T58" s="549"/>
      <c r="U58" s="549"/>
      <c r="V58" s="549"/>
      <c r="W58" s="692"/>
      <c r="X58" s="692"/>
      <c r="Y58" s="692"/>
      <c r="Z58" s="692"/>
      <c r="AA58" s="692"/>
      <c r="AB58" s="692"/>
      <c r="AC58" s="692"/>
      <c r="AD58" s="692"/>
      <c r="AE58" s="692"/>
      <c r="AF58" s="692"/>
      <c r="AG58" s="692"/>
      <c r="AH58" s="692"/>
      <c r="AI58" s="692"/>
      <c r="AJ58" s="692"/>
      <c r="AK58" s="692"/>
      <c r="AL58" s="692"/>
      <c r="AM58" s="692"/>
      <c r="AN58" s="692"/>
      <c r="AO58" s="692"/>
    </row>
    <row r="59" spans="1:41" ht="15.75">
      <c r="A59" s="555"/>
      <c r="B59" s="549"/>
      <c r="E59" s="691"/>
      <c r="F59" s="691"/>
      <c r="G59" s="691"/>
      <c r="H59" s="691"/>
      <c r="I59" s="691"/>
      <c r="J59" s="691"/>
      <c r="K59" s="691"/>
      <c r="L59" s="549"/>
      <c r="M59" s="691"/>
      <c r="N59" s="691"/>
      <c r="O59" s="691"/>
      <c r="P59" s="691"/>
      <c r="Q59" s="691"/>
      <c r="R59" s="549"/>
      <c r="S59" s="549"/>
      <c r="T59" s="549"/>
      <c r="U59" s="549"/>
      <c r="V59" s="549"/>
      <c r="W59" s="692"/>
      <c r="X59" s="692"/>
      <c r="Y59" s="692"/>
      <c r="Z59" s="692"/>
      <c r="AA59" s="692"/>
      <c r="AB59" s="692"/>
      <c r="AC59" s="692"/>
      <c r="AD59" s="692"/>
      <c r="AE59" s="692"/>
      <c r="AF59" s="692"/>
      <c r="AG59" s="692"/>
      <c r="AH59" s="692"/>
      <c r="AI59" s="692"/>
      <c r="AJ59" s="692"/>
      <c r="AK59" s="692"/>
      <c r="AL59" s="692"/>
      <c r="AM59" s="692"/>
      <c r="AN59" s="692"/>
      <c r="AO59" s="692"/>
    </row>
    <row r="60" spans="1:41" ht="15.75">
      <c r="A60" s="555"/>
      <c r="B60" s="549"/>
      <c r="E60" s="691"/>
      <c r="F60" s="691"/>
      <c r="G60" s="691"/>
      <c r="H60" s="691"/>
      <c r="I60" s="691"/>
      <c r="J60" s="691"/>
      <c r="K60" s="691"/>
      <c r="L60" s="549"/>
      <c r="M60" s="691"/>
      <c r="N60" s="691"/>
      <c r="O60" s="691"/>
      <c r="P60" s="691"/>
      <c r="Q60" s="691"/>
      <c r="R60" s="549"/>
      <c r="S60" s="549"/>
      <c r="T60" s="549"/>
      <c r="U60" s="549"/>
      <c r="V60" s="549"/>
      <c r="W60" s="692"/>
      <c r="X60" s="692"/>
      <c r="Y60" s="692"/>
      <c r="Z60" s="692"/>
      <c r="AA60" s="692"/>
      <c r="AB60" s="692"/>
      <c r="AC60" s="692"/>
      <c r="AD60" s="692"/>
      <c r="AE60" s="692"/>
      <c r="AF60" s="692"/>
      <c r="AG60" s="692"/>
      <c r="AH60" s="692"/>
      <c r="AI60" s="692"/>
      <c r="AJ60" s="692"/>
      <c r="AK60" s="692"/>
      <c r="AL60" s="692"/>
      <c r="AM60" s="692"/>
      <c r="AN60" s="692"/>
      <c r="AO60" s="692"/>
    </row>
    <row r="61" spans="1:41" ht="15.75">
      <c r="A61" s="555"/>
      <c r="B61" s="549"/>
      <c r="E61" s="691"/>
      <c r="F61" s="691"/>
      <c r="G61" s="691"/>
      <c r="H61" s="691"/>
      <c r="I61" s="691"/>
      <c r="J61" s="691"/>
      <c r="K61" s="691"/>
      <c r="L61" s="549"/>
      <c r="M61" s="691"/>
      <c r="N61" s="691"/>
      <c r="O61" s="691"/>
      <c r="P61" s="691"/>
      <c r="Q61" s="691"/>
      <c r="R61" s="549"/>
      <c r="S61" s="549"/>
      <c r="T61" s="549"/>
      <c r="U61" s="549"/>
      <c r="V61" s="549"/>
      <c r="W61" s="692"/>
      <c r="X61" s="692"/>
      <c r="Y61" s="692"/>
      <c r="Z61" s="692"/>
      <c r="AA61" s="692"/>
      <c r="AB61" s="692"/>
      <c r="AC61" s="692"/>
      <c r="AD61" s="692"/>
      <c r="AE61" s="692"/>
      <c r="AF61" s="692"/>
      <c r="AG61" s="692"/>
      <c r="AH61" s="692"/>
      <c r="AI61" s="692"/>
      <c r="AJ61" s="692"/>
      <c r="AK61" s="692"/>
      <c r="AL61" s="692"/>
      <c r="AM61" s="692"/>
      <c r="AN61" s="692"/>
      <c r="AO61" s="692"/>
    </row>
    <row r="62" spans="1:41" ht="15.75">
      <c r="A62" s="555"/>
      <c r="B62" s="549"/>
      <c r="E62" s="691"/>
      <c r="F62" s="691"/>
      <c r="G62" s="691"/>
      <c r="H62" s="691"/>
      <c r="I62" s="691"/>
      <c r="J62" s="691"/>
      <c r="K62" s="691"/>
      <c r="L62" s="549"/>
      <c r="M62" s="691"/>
      <c r="N62" s="691"/>
      <c r="O62" s="691"/>
      <c r="P62" s="691"/>
      <c r="Q62" s="691"/>
      <c r="R62" s="549"/>
      <c r="S62" s="549"/>
      <c r="T62" s="549"/>
      <c r="U62" s="549"/>
      <c r="V62" s="549"/>
      <c r="W62" s="692"/>
      <c r="X62" s="692"/>
      <c r="Y62" s="692"/>
      <c r="Z62" s="692"/>
      <c r="AA62" s="692"/>
      <c r="AB62" s="692"/>
      <c r="AC62" s="692"/>
      <c r="AD62" s="692"/>
      <c r="AE62" s="692"/>
      <c r="AF62" s="692"/>
      <c r="AG62" s="692"/>
      <c r="AH62" s="692"/>
      <c r="AI62" s="692"/>
      <c r="AJ62" s="692"/>
      <c r="AK62" s="692"/>
      <c r="AL62" s="692"/>
      <c r="AM62" s="692"/>
      <c r="AN62" s="692"/>
      <c r="AO62" s="692"/>
    </row>
    <row r="63" spans="1:41" ht="15.75">
      <c r="A63" s="555"/>
      <c r="B63" s="549"/>
      <c r="E63" s="691"/>
      <c r="F63" s="691"/>
      <c r="G63" s="691"/>
      <c r="H63" s="691"/>
      <c r="I63" s="691"/>
      <c r="J63" s="691"/>
      <c r="K63" s="691"/>
      <c r="L63" s="549"/>
      <c r="M63" s="691"/>
      <c r="N63" s="691"/>
      <c r="O63" s="691"/>
      <c r="P63" s="691"/>
      <c r="Q63" s="691"/>
      <c r="R63" s="549"/>
      <c r="S63" s="549"/>
      <c r="T63" s="549"/>
      <c r="U63" s="549"/>
      <c r="V63" s="549"/>
      <c r="W63" s="692"/>
      <c r="X63" s="692"/>
      <c r="Y63" s="692"/>
      <c r="Z63" s="692"/>
      <c r="AA63" s="692"/>
      <c r="AB63" s="692"/>
      <c r="AC63" s="692"/>
      <c r="AD63" s="692"/>
      <c r="AE63" s="692"/>
      <c r="AF63" s="692"/>
      <c r="AG63" s="692"/>
      <c r="AH63" s="692"/>
      <c r="AI63" s="692"/>
      <c r="AJ63" s="692"/>
      <c r="AK63" s="692"/>
      <c r="AL63" s="692"/>
      <c r="AM63" s="692"/>
      <c r="AN63" s="692"/>
      <c r="AO63" s="692"/>
    </row>
    <row r="64" spans="1:41" ht="15.75">
      <c r="A64" s="555"/>
      <c r="B64" s="549"/>
      <c r="E64" s="691"/>
      <c r="F64" s="691"/>
      <c r="G64" s="691"/>
      <c r="H64" s="691"/>
      <c r="I64" s="691"/>
      <c r="J64" s="691"/>
      <c r="K64" s="691"/>
      <c r="L64" s="549"/>
      <c r="M64" s="691"/>
      <c r="N64" s="691"/>
      <c r="O64" s="691"/>
      <c r="P64" s="691"/>
      <c r="Q64" s="691"/>
      <c r="R64" s="549"/>
      <c r="S64" s="549"/>
      <c r="T64" s="549"/>
      <c r="U64" s="549"/>
      <c r="V64" s="549"/>
      <c r="W64" s="692"/>
      <c r="X64" s="692"/>
      <c r="Y64" s="692"/>
      <c r="Z64" s="692"/>
      <c r="AA64" s="692"/>
      <c r="AB64" s="692"/>
      <c r="AC64" s="692"/>
      <c r="AD64" s="692"/>
      <c r="AE64" s="692"/>
      <c r="AF64" s="692"/>
      <c r="AG64" s="692"/>
      <c r="AH64" s="692"/>
      <c r="AI64" s="692"/>
      <c r="AJ64" s="692"/>
      <c r="AK64" s="692"/>
      <c r="AL64" s="692"/>
      <c r="AM64" s="692"/>
      <c r="AN64" s="692"/>
      <c r="AO64" s="692"/>
    </row>
    <row r="65" spans="1:41" ht="15.75">
      <c r="A65" s="555"/>
      <c r="B65" s="549"/>
      <c r="E65" s="691"/>
      <c r="F65" s="691"/>
      <c r="G65" s="691"/>
      <c r="H65" s="691"/>
      <c r="I65" s="691"/>
      <c r="J65" s="691"/>
      <c r="K65" s="691"/>
      <c r="L65" s="549"/>
      <c r="M65" s="691"/>
      <c r="N65" s="691"/>
      <c r="O65" s="691"/>
      <c r="P65" s="691"/>
      <c r="Q65" s="691"/>
      <c r="R65" s="549"/>
      <c r="S65" s="549"/>
      <c r="T65" s="549"/>
      <c r="U65" s="549"/>
      <c r="V65" s="549"/>
      <c r="W65" s="692"/>
      <c r="X65" s="692"/>
      <c r="Y65" s="692"/>
      <c r="Z65" s="692"/>
      <c r="AA65" s="692"/>
      <c r="AB65" s="692"/>
      <c r="AC65" s="692"/>
      <c r="AD65" s="692"/>
      <c r="AE65" s="692"/>
      <c r="AF65" s="692"/>
      <c r="AG65" s="692"/>
      <c r="AH65" s="692"/>
      <c r="AI65" s="692"/>
      <c r="AJ65" s="692"/>
      <c r="AK65" s="692"/>
      <c r="AL65" s="692"/>
      <c r="AM65" s="692"/>
      <c r="AN65" s="692"/>
      <c r="AO65" s="692"/>
    </row>
    <row r="66" spans="1:41" ht="15.75">
      <c r="A66" s="555"/>
      <c r="B66" s="549"/>
      <c r="E66" s="691"/>
      <c r="F66" s="691"/>
      <c r="G66" s="691"/>
      <c r="H66" s="691"/>
      <c r="I66" s="691"/>
      <c r="J66" s="691"/>
      <c r="K66" s="691"/>
      <c r="L66" s="549"/>
      <c r="M66" s="691"/>
      <c r="N66" s="691"/>
      <c r="O66" s="691"/>
      <c r="P66" s="691"/>
      <c r="Q66" s="691"/>
      <c r="R66" s="549"/>
      <c r="S66" s="549"/>
      <c r="T66" s="549"/>
      <c r="U66" s="549"/>
      <c r="V66" s="549"/>
      <c r="W66" s="692"/>
      <c r="X66" s="692"/>
      <c r="Y66" s="692"/>
      <c r="Z66" s="692"/>
      <c r="AA66" s="692"/>
      <c r="AB66" s="692"/>
      <c r="AC66" s="692"/>
      <c r="AD66" s="692"/>
      <c r="AE66" s="692"/>
      <c r="AF66" s="692"/>
      <c r="AG66" s="692"/>
      <c r="AH66" s="692"/>
      <c r="AI66" s="692"/>
      <c r="AJ66" s="692"/>
      <c r="AK66" s="692"/>
      <c r="AL66" s="692"/>
      <c r="AM66" s="692"/>
      <c r="AN66" s="692"/>
      <c r="AO66" s="692"/>
    </row>
    <row r="67" spans="1:41" ht="15.75">
      <c r="A67" s="555"/>
      <c r="B67" s="549"/>
      <c r="E67" s="691"/>
      <c r="F67" s="691"/>
      <c r="G67" s="691"/>
      <c r="H67" s="691"/>
      <c r="I67" s="691"/>
      <c r="J67" s="691"/>
      <c r="K67" s="691"/>
      <c r="L67" s="549"/>
      <c r="M67" s="691"/>
      <c r="N67" s="691"/>
      <c r="O67" s="691"/>
      <c r="P67" s="691"/>
      <c r="Q67" s="691"/>
      <c r="R67" s="549"/>
      <c r="S67" s="549"/>
      <c r="T67" s="549"/>
      <c r="U67" s="549"/>
      <c r="V67" s="549"/>
      <c r="W67" s="692"/>
      <c r="X67" s="692"/>
      <c r="Y67" s="692"/>
      <c r="Z67" s="692"/>
      <c r="AA67" s="692"/>
      <c r="AB67" s="692"/>
      <c r="AC67" s="692"/>
      <c r="AD67" s="692"/>
      <c r="AE67" s="692"/>
      <c r="AF67" s="692"/>
      <c r="AG67" s="692"/>
      <c r="AH67" s="692"/>
      <c r="AI67" s="692"/>
      <c r="AJ67" s="692"/>
      <c r="AK67" s="692"/>
      <c r="AL67" s="692"/>
      <c r="AM67" s="692"/>
      <c r="AN67" s="692"/>
      <c r="AO67" s="692"/>
    </row>
    <row r="68" spans="1:41" ht="15.75">
      <c r="A68" s="555"/>
      <c r="B68" s="549"/>
      <c r="E68" s="691"/>
      <c r="F68" s="691"/>
      <c r="G68" s="691"/>
      <c r="H68" s="691"/>
      <c r="I68" s="691"/>
      <c r="J68" s="691"/>
      <c r="K68" s="691"/>
      <c r="L68" s="549"/>
      <c r="M68" s="691"/>
      <c r="N68" s="691"/>
      <c r="O68" s="691"/>
      <c r="P68" s="691"/>
      <c r="Q68" s="691"/>
      <c r="R68" s="549"/>
      <c r="S68" s="549"/>
      <c r="T68" s="549"/>
      <c r="U68" s="549"/>
      <c r="V68" s="549"/>
      <c r="W68" s="692"/>
      <c r="X68" s="692"/>
      <c r="Y68" s="692"/>
      <c r="Z68" s="692"/>
      <c r="AA68" s="692"/>
      <c r="AB68" s="692"/>
      <c r="AC68" s="692"/>
      <c r="AD68" s="692"/>
      <c r="AE68" s="692"/>
      <c r="AF68" s="692"/>
      <c r="AG68" s="692"/>
      <c r="AH68" s="692"/>
      <c r="AI68" s="692"/>
      <c r="AJ68" s="692"/>
      <c r="AK68" s="692"/>
      <c r="AL68" s="692"/>
      <c r="AM68" s="692"/>
      <c r="AN68" s="692"/>
      <c r="AO68" s="692"/>
    </row>
    <row r="69" spans="1:41" ht="15.75">
      <c r="A69" s="555"/>
      <c r="B69" s="549"/>
      <c r="E69" s="691"/>
      <c r="F69" s="691"/>
      <c r="G69" s="691"/>
      <c r="H69" s="691"/>
      <c r="I69" s="691"/>
      <c r="J69" s="691"/>
      <c r="K69" s="691"/>
      <c r="L69" s="549"/>
      <c r="M69" s="691"/>
      <c r="N69" s="691"/>
      <c r="O69" s="691"/>
      <c r="P69" s="691"/>
      <c r="Q69" s="691"/>
      <c r="R69" s="549"/>
      <c r="S69" s="549"/>
      <c r="T69" s="549"/>
      <c r="U69" s="549"/>
      <c r="V69" s="549"/>
      <c r="W69" s="692"/>
      <c r="X69" s="692"/>
      <c r="Y69" s="692"/>
      <c r="Z69" s="692"/>
      <c r="AA69" s="692"/>
      <c r="AB69" s="692"/>
      <c r="AC69" s="692"/>
      <c r="AD69" s="692"/>
      <c r="AE69" s="692"/>
      <c r="AF69" s="692"/>
      <c r="AG69" s="692"/>
      <c r="AH69" s="692"/>
      <c r="AI69" s="692"/>
      <c r="AJ69" s="692"/>
      <c r="AK69" s="692"/>
      <c r="AL69" s="692"/>
      <c r="AM69" s="692"/>
      <c r="AN69" s="692"/>
      <c r="AO69" s="692"/>
    </row>
    <row r="70" spans="1:41" ht="15.75">
      <c r="A70" s="555"/>
      <c r="B70" s="549"/>
      <c r="E70" s="691"/>
      <c r="F70" s="691"/>
      <c r="G70" s="691"/>
      <c r="H70" s="691"/>
      <c r="I70" s="691"/>
      <c r="J70" s="691"/>
      <c r="K70" s="691"/>
      <c r="L70" s="549"/>
      <c r="M70" s="691"/>
      <c r="N70" s="691"/>
      <c r="O70" s="691"/>
      <c r="P70" s="691"/>
      <c r="Q70" s="691"/>
      <c r="R70" s="549"/>
      <c r="S70" s="549"/>
      <c r="T70" s="549"/>
      <c r="U70" s="549"/>
      <c r="V70" s="549"/>
      <c r="W70" s="692"/>
      <c r="X70" s="692"/>
      <c r="Y70" s="692"/>
      <c r="Z70" s="692"/>
      <c r="AA70" s="692"/>
      <c r="AB70" s="692"/>
      <c r="AC70" s="692"/>
      <c r="AD70" s="692"/>
      <c r="AE70" s="692"/>
      <c r="AF70" s="692"/>
      <c r="AG70" s="692"/>
      <c r="AH70" s="692"/>
      <c r="AI70" s="692"/>
      <c r="AJ70" s="692"/>
      <c r="AK70" s="692"/>
      <c r="AL70" s="692"/>
      <c r="AM70" s="692"/>
      <c r="AN70" s="692"/>
      <c r="AO70" s="692"/>
    </row>
    <row r="71" spans="1:41" ht="15.75">
      <c r="A71" s="555"/>
      <c r="B71" s="549"/>
      <c r="E71" s="691"/>
      <c r="F71" s="691"/>
      <c r="G71" s="691"/>
      <c r="H71" s="691"/>
      <c r="I71" s="691"/>
      <c r="J71" s="691"/>
      <c r="K71" s="691"/>
      <c r="L71" s="549"/>
      <c r="M71" s="691"/>
      <c r="N71" s="691"/>
      <c r="O71" s="691"/>
      <c r="P71" s="691"/>
      <c r="Q71" s="691"/>
      <c r="R71" s="549"/>
      <c r="S71" s="549"/>
      <c r="T71" s="549"/>
      <c r="U71" s="549"/>
      <c r="V71" s="549"/>
      <c r="W71" s="692"/>
      <c r="X71" s="692"/>
      <c r="Y71" s="692"/>
      <c r="Z71" s="692"/>
      <c r="AA71" s="692"/>
      <c r="AB71" s="692"/>
      <c r="AC71" s="692"/>
      <c r="AD71" s="692"/>
      <c r="AE71" s="692"/>
      <c r="AF71" s="692"/>
      <c r="AG71" s="692"/>
      <c r="AH71" s="692"/>
      <c r="AI71" s="692"/>
      <c r="AJ71" s="692"/>
      <c r="AK71" s="692"/>
      <c r="AL71" s="692"/>
      <c r="AM71" s="692"/>
      <c r="AN71" s="692"/>
      <c r="AO71" s="692"/>
    </row>
    <row r="72" spans="1:41" ht="15.75">
      <c r="A72" s="555"/>
      <c r="B72" s="549"/>
      <c r="E72" s="691"/>
      <c r="F72" s="691"/>
      <c r="G72" s="691"/>
      <c r="H72" s="691"/>
      <c r="I72" s="691"/>
      <c r="J72" s="691"/>
      <c r="K72" s="691"/>
      <c r="L72" s="549"/>
      <c r="M72" s="691"/>
      <c r="N72" s="691"/>
      <c r="O72" s="691"/>
      <c r="P72" s="691"/>
      <c r="Q72" s="691"/>
      <c r="R72" s="549"/>
      <c r="S72" s="549"/>
      <c r="T72" s="549"/>
      <c r="U72" s="549"/>
      <c r="V72" s="549"/>
      <c r="W72" s="692"/>
      <c r="X72" s="692"/>
      <c r="Y72" s="692"/>
      <c r="Z72" s="692"/>
      <c r="AA72" s="692"/>
      <c r="AB72" s="692"/>
      <c r="AC72" s="692"/>
      <c r="AD72" s="692"/>
      <c r="AE72" s="692"/>
      <c r="AF72" s="692"/>
      <c r="AG72" s="692"/>
      <c r="AH72" s="692"/>
      <c r="AI72" s="692"/>
      <c r="AJ72" s="692"/>
      <c r="AK72" s="692"/>
      <c r="AL72" s="692"/>
      <c r="AM72" s="692"/>
      <c r="AN72" s="692"/>
      <c r="AO72" s="692"/>
    </row>
    <row r="73" spans="1:41" ht="15.75">
      <c r="A73" s="555"/>
      <c r="B73" s="549"/>
      <c r="E73" s="691"/>
      <c r="F73" s="691"/>
      <c r="G73" s="691"/>
      <c r="H73" s="691"/>
      <c r="I73" s="691"/>
      <c r="J73" s="691"/>
      <c r="K73" s="691"/>
      <c r="L73" s="549"/>
      <c r="M73" s="691"/>
      <c r="N73" s="691"/>
      <c r="O73" s="691"/>
      <c r="P73" s="691"/>
      <c r="Q73" s="691"/>
      <c r="R73" s="549"/>
      <c r="S73" s="549"/>
      <c r="T73" s="549"/>
      <c r="U73" s="549"/>
      <c r="V73" s="549"/>
      <c r="W73" s="692"/>
      <c r="X73" s="692"/>
      <c r="Y73" s="692"/>
      <c r="Z73" s="692"/>
      <c r="AA73" s="692"/>
      <c r="AB73" s="692"/>
      <c r="AC73" s="692"/>
      <c r="AD73" s="692"/>
      <c r="AE73" s="692"/>
      <c r="AF73" s="692"/>
      <c r="AG73" s="692"/>
      <c r="AH73" s="692"/>
      <c r="AI73" s="692"/>
      <c r="AJ73" s="692"/>
      <c r="AK73" s="692"/>
      <c r="AL73" s="692"/>
      <c r="AM73" s="692"/>
      <c r="AN73" s="692"/>
      <c r="AO73" s="692"/>
    </row>
    <row r="74" spans="1:41" ht="15.75">
      <c r="A74" s="555"/>
      <c r="B74" s="549"/>
      <c r="E74" s="691"/>
      <c r="F74" s="691"/>
      <c r="G74" s="691"/>
      <c r="H74" s="691"/>
      <c r="I74" s="691"/>
      <c r="J74" s="691"/>
      <c r="K74" s="691"/>
      <c r="L74" s="549"/>
      <c r="M74" s="691"/>
      <c r="N74" s="691"/>
      <c r="O74" s="691"/>
      <c r="P74" s="691"/>
      <c r="Q74" s="691"/>
      <c r="R74" s="549"/>
      <c r="S74" s="549"/>
      <c r="T74" s="549"/>
      <c r="U74" s="549"/>
      <c r="V74" s="549"/>
      <c r="W74" s="692"/>
      <c r="X74" s="692"/>
      <c r="Y74" s="692"/>
      <c r="Z74" s="692"/>
      <c r="AA74" s="692"/>
      <c r="AB74" s="692"/>
      <c r="AC74" s="692"/>
      <c r="AD74" s="692"/>
      <c r="AE74" s="692"/>
      <c r="AF74" s="692"/>
      <c r="AG74" s="692"/>
      <c r="AH74" s="692"/>
      <c r="AI74" s="692"/>
      <c r="AJ74" s="692"/>
      <c r="AK74" s="692"/>
      <c r="AL74" s="692"/>
      <c r="AM74" s="692"/>
      <c r="AN74" s="692"/>
      <c r="AO74" s="692"/>
    </row>
    <row r="75" spans="1:41" ht="15.75">
      <c r="A75" s="555"/>
      <c r="B75" s="549"/>
      <c r="E75" s="691"/>
      <c r="F75" s="691"/>
      <c r="G75" s="691"/>
      <c r="H75" s="691"/>
      <c r="I75" s="691"/>
      <c r="J75" s="691"/>
      <c r="K75" s="691"/>
      <c r="L75" s="549"/>
      <c r="M75" s="691"/>
      <c r="N75" s="691"/>
      <c r="O75" s="691"/>
      <c r="P75" s="691"/>
      <c r="Q75" s="691"/>
      <c r="R75" s="549"/>
      <c r="S75" s="549"/>
      <c r="T75" s="549"/>
      <c r="U75" s="549"/>
      <c r="V75" s="549"/>
      <c r="W75" s="692"/>
      <c r="X75" s="692"/>
      <c r="Y75" s="692"/>
      <c r="Z75" s="692"/>
      <c r="AA75" s="692"/>
      <c r="AB75" s="692"/>
      <c r="AC75" s="692"/>
      <c r="AD75" s="692"/>
      <c r="AE75" s="692"/>
      <c r="AF75" s="692"/>
      <c r="AG75" s="692"/>
      <c r="AH75" s="692"/>
      <c r="AI75" s="692"/>
      <c r="AJ75" s="692"/>
      <c r="AK75" s="692"/>
      <c r="AL75" s="692"/>
      <c r="AM75" s="692"/>
      <c r="AN75" s="692"/>
      <c r="AO75" s="692"/>
    </row>
    <row r="76" spans="1:41" ht="15.75">
      <c r="A76" s="555"/>
      <c r="B76" s="549"/>
      <c r="E76" s="691"/>
      <c r="F76" s="691"/>
      <c r="G76" s="691"/>
      <c r="H76" s="691"/>
      <c r="I76" s="691"/>
      <c r="J76" s="691"/>
      <c r="K76" s="691"/>
      <c r="L76" s="549"/>
      <c r="M76" s="691"/>
      <c r="N76" s="691"/>
      <c r="O76" s="691"/>
      <c r="P76" s="691"/>
      <c r="Q76" s="691"/>
      <c r="R76" s="549"/>
      <c r="S76" s="549"/>
      <c r="T76" s="549"/>
      <c r="U76" s="549"/>
      <c r="V76" s="549"/>
      <c r="W76" s="692"/>
      <c r="X76" s="692"/>
      <c r="Y76" s="692"/>
      <c r="Z76" s="692"/>
      <c r="AA76" s="692"/>
      <c r="AB76" s="692"/>
      <c r="AC76" s="692"/>
      <c r="AD76" s="692"/>
      <c r="AE76" s="692"/>
      <c r="AF76" s="692"/>
      <c r="AG76" s="692"/>
      <c r="AH76" s="692"/>
      <c r="AI76" s="692"/>
      <c r="AJ76" s="692"/>
      <c r="AK76" s="692"/>
      <c r="AL76" s="692"/>
      <c r="AM76" s="692"/>
      <c r="AN76" s="692"/>
      <c r="AO76" s="692"/>
    </row>
    <row r="77" spans="1:41" ht="15.75">
      <c r="A77" s="555"/>
      <c r="B77" s="549"/>
      <c r="E77" s="691"/>
      <c r="F77" s="691"/>
      <c r="G77" s="691"/>
      <c r="H77" s="691"/>
      <c r="I77" s="691"/>
      <c r="J77" s="691"/>
      <c r="K77" s="691"/>
      <c r="L77" s="549"/>
      <c r="M77" s="691"/>
      <c r="N77" s="691"/>
      <c r="O77" s="691"/>
      <c r="P77" s="691"/>
      <c r="Q77" s="691"/>
      <c r="R77" s="549"/>
      <c r="S77" s="549"/>
      <c r="T77" s="549"/>
      <c r="U77" s="549"/>
      <c r="V77" s="549"/>
      <c r="W77" s="692"/>
      <c r="X77" s="692"/>
      <c r="Y77" s="692"/>
      <c r="Z77" s="692"/>
      <c r="AA77" s="692"/>
      <c r="AB77" s="692"/>
      <c r="AC77" s="692"/>
      <c r="AD77" s="692"/>
      <c r="AE77" s="692"/>
      <c r="AF77" s="692"/>
      <c r="AG77" s="692"/>
      <c r="AH77" s="692"/>
      <c r="AI77" s="692"/>
      <c r="AJ77" s="692"/>
      <c r="AK77" s="692"/>
      <c r="AL77" s="692"/>
      <c r="AM77" s="692"/>
      <c r="AN77" s="692"/>
      <c r="AO77" s="692"/>
    </row>
    <row r="78" spans="1:41" ht="15.75">
      <c r="A78" s="555"/>
      <c r="B78" s="549"/>
      <c r="E78" s="691"/>
      <c r="F78" s="691"/>
      <c r="G78" s="691"/>
      <c r="H78" s="691"/>
      <c r="I78" s="691"/>
      <c r="J78" s="691"/>
      <c r="K78" s="691"/>
      <c r="L78" s="549"/>
      <c r="M78" s="691"/>
      <c r="N78" s="691"/>
      <c r="O78" s="691"/>
      <c r="P78" s="691"/>
      <c r="Q78" s="691"/>
      <c r="R78" s="549"/>
      <c r="S78" s="549"/>
      <c r="T78" s="549"/>
      <c r="U78" s="549"/>
      <c r="V78" s="549"/>
      <c r="W78" s="692"/>
      <c r="X78" s="692"/>
      <c r="Y78" s="692"/>
      <c r="Z78" s="692"/>
      <c r="AA78" s="692"/>
      <c r="AB78" s="692"/>
      <c r="AC78" s="692"/>
      <c r="AD78" s="692"/>
      <c r="AE78" s="692"/>
      <c r="AF78" s="692"/>
      <c r="AG78" s="692"/>
      <c r="AH78" s="692"/>
      <c r="AI78" s="692"/>
      <c r="AJ78" s="692"/>
      <c r="AK78" s="692"/>
      <c r="AL78" s="692"/>
      <c r="AM78" s="692"/>
      <c r="AN78" s="692"/>
      <c r="AO78" s="692"/>
    </row>
    <row r="79" spans="1:41" ht="15.75">
      <c r="A79" s="555"/>
      <c r="B79" s="549"/>
      <c r="E79" s="691"/>
      <c r="F79" s="691"/>
      <c r="G79" s="691"/>
      <c r="H79" s="691"/>
      <c r="I79" s="691"/>
      <c r="J79" s="691"/>
      <c r="K79" s="691"/>
      <c r="L79" s="549"/>
      <c r="M79" s="691"/>
      <c r="N79" s="691"/>
      <c r="O79" s="691"/>
      <c r="P79" s="691"/>
      <c r="Q79" s="691"/>
      <c r="R79" s="549"/>
      <c r="S79" s="549"/>
      <c r="T79" s="549"/>
      <c r="U79" s="549"/>
      <c r="V79" s="549"/>
      <c r="W79" s="692"/>
      <c r="X79" s="692"/>
      <c r="Y79" s="692"/>
      <c r="Z79" s="692"/>
      <c r="AA79" s="692"/>
      <c r="AB79" s="692"/>
      <c r="AC79" s="692"/>
      <c r="AD79" s="692"/>
      <c r="AE79" s="692"/>
      <c r="AF79" s="692"/>
      <c r="AG79" s="692"/>
      <c r="AH79" s="692"/>
      <c r="AI79" s="692"/>
      <c r="AJ79" s="692"/>
      <c r="AK79" s="692"/>
      <c r="AL79" s="692"/>
      <c r="AM79" s="692"/>
      <c r="AN79" s="692"/>
      <c r="AO79" s="692"/>
    </row>
    <row r="80" spans="1:41" ht="15.75">
      <c r="A80" s="555"/>
      <c r="B80" s="549"/>
      <c r="E80" s="691"/>
      <c r="F80" s="691"/>
      <c r="G80" s="691"/>
      <c r="H80" s="691"/>
      <c r="I80" s="691"/>
      <c r="J80" s="691"/>
      <c r="K80" s="691"/>
      <c r="L80" s="549"/>
      <c r="M80" s="691"/>
      <c r="N80" s="691"/>
      <c r="O80" s="691"/>
      <c r="P80" s="691"/>
      <c r="Q80" s="691"/>
      <c r="R80" s="549"/>
      <c r="S80" s="549"/>
      <c r="T80" s="549"/>
      <c r="U80" s="549"/>
      <c r="V80" s="549"/>
      <c r="W80" s="692"/>
      <c r="X80" s="692"/>
      <c r="Y80" s="692"/>
      <c r="Z80" s="692"/>
      <c r="AA80" s="692"/>
      <c r="AB80" s="692"/>
      <c r="AC80" s="692"/>
      <c r="AD80" s="692"/>
      <c r="AE80" s="692"/>
      <c r="AF80" s="692"/>
      <c r="AG80" s="692"/>
      <c r="AH80" s="692"/>
      <c r="AI80" s="692"/>
      <c r="AJ80" s="692"/>
      <c r="AK80" s="692"/>
      <c r="AL80" s="692"/>
      <c r="AM80" s="692"/>
      <c r="AN80" s="692"/>
      <c r="AO80" s="692"/>
    </row>
    <row r="81" spans="1:41" ht="15.75">
      <c r="A81" s="555"/>
      <c r="B81" s="549"/>
      <c r="E81" s="691"/>
      <c r="F81" s="691"/>
      <c r="G81" s="691"/>
      <c r="H81" s="691"/>
      <c r="I81" s="691"/>
      <c r="J81" s="691"/>
      <c r="K81" s="691"/>
      <c r="L81" s="549"/>
      <c r="M81" s="691"/>
      <c r="N81" s="691"/>
      <c r="O81" s="691"/>
      <c r="P81" s="691"/>
      <c r="Q81" s="691"/>
      <c r="R81" s="549"/>
      <c r="S81" s="549"/>
      <c r="T81" s="549"/>
      <c r="U81" s="549"/>
      <c r="V81" s="549"/>
      <c r="W81" s="692"/>
      <c r="X81" s="692"/>
      <c r="Y81" s="692"/>
      <c r="Z81" s="692"/>
      <c r="AA81" s="692"/>
      <c r="AB81" s="692"/>
      <c r="AC81" s="692"/>
      <c r="AD81" s="692"/>
      <c r="AE81" s="692"/>
      <c r="AF81" s="692"/>
      <c r="AG81" s="692"/>
      <c r="AH81" s="692"/>
      <c r="AI81" s="692"/>
      <c r="AJ81" s="692"/>
      <c r="AK81" s="692"/>
      <c r="AL81" s="692"/>
      <c r="AM81" s="692"/>
      <c r="AN81" s="692"/>
      <c r="AO81" s="692"/>
    </row>
    <row r="82" spans="1:41" ht="15.75">
      <c r="A82" s="555"/>
      <c r="B82" s="549"/>
      <c r="E82" s="691"/>
      <c r="F82" s="691"/>
      <c r="G82" s="691"/>
      <c r="H82" s="691"/>
      <c r="I82" s="691"/>
      <c r="J82" s="691"/>
      <c r="K82" s="691"/>
      <c r="L82" s="549"/>
      <c r="M82" s="691"/>
      <c r="N82" s="691"/>
      <c r="O82" s="691"/>
      <c r="P82" s="691"/>
      <c r="Q82" s="691"/>
      <c r="R82" s="549"/>
      <c r="S82" s="549"/>
      <c r="T82" s="549"/>
      <c r="U82" s="549"/>
      <c r="V82" s="549"/>
      <c r="W82" s="692"/>
      <c r="X82" s="692"/>
      <c r="Y82" s="692"/>
      <c r="Z82" s="692"/>
      <c r="AA82" s="692"/>
      <c r="AB82" s="692"/>
      <c r="AC82" s="692"/>
      <c r="AD82" s="692"/>
      <c r="AE82" s="692"/>
      <c r="AF82" s="692"/>
      <c r="AG82" s="692"/>
      <c r="AH82" s="692"/>
      <c r="AI82" s="692"/>
      <c r="AJ82" s="692"/>
      <c r="AK82" s="692"/>
      <c r="AL82" s="692"/>
      <c r="AM82" s="692"/>
      <c r="AN82" s="692"/>
      <c r="AO82" s="692"/>
    </row>
    <row r="83" spans="1:41" ht="15.75">
      <c r="A83" s="555"/>
      <c r="B83" s="549"/>
      <c r="E83" s="691"/>
      <c r="F83" s="691"/>
      <c r="G83" s="691"/>
      <c r="H83" s="691"/>
      <c r="I83" s="691"/>
      <c r="J83" s="691"/>
      <c r="K83" s="691"/>
      <c r="L83" s="549"/>
      <c r="M83" s="691"/>
      <c r="N83" s="691"/>
      <c r="O83" s="691"/>
      <c r="P83" s="691"/>
      <c r="Q83" s="691"/>
      <c r="R83" s="549"/>
      <c r="S83" s="549"/>
      <c r="T83" s="549"/>
      <c r="U83" s="549"/>
      <c r="V83" s="549"/>
      <c r="W83" s="692"/>
      <c r="X83" s="692"/>
      <c r="Y83" s="692"/>
      <c r="Z83" s="692"/>
      <c r="AA83" s="692"/>
      <c r="AB83" s="692"/>
      <c r="AC83" s="692"/>
      <c r="AD83" s="692"/>
      <c r="AE83" s="692"/>
      <c r="AF83" s="692"/>
      <c r="AG83" s="692"/>
      <c r="AH83" s="692"/>
      <c r="AI83" s="692"/>
      <c r="AJ83" s="692"/>
      <c r="AK83" s="692"/>
      <c r="AL83" s="692"/>
      <c r="AM83" s="692"/>
      <c r="AN83" s="692"/>
      <c r="AO83" s="692"/>
    </row>
    <row r="84" spans="1:41" ht="15.75">
      <c r="A84" s="555"/>
      <c r="B84" s="549"/>
      <c r="E84" s="691"/>
      <c r="F84" s="691"/>
      <c r="G84" s="691"/>
      <c r="H84" s="691"/>
      <c r="I84" s="691"/>
      <c r="J84" s="691"/>
      <c r="K84" s="691"/>
      <c r="L84" s="549"/>
      <c r="M84" s="691"/>
      <c r="N84" s="691"/>
      <c r="O84" s="691"/>
      <c r="P84" s="691"/>
      <c r="Q84" s="691"/>
      <c r="R84" s="549"/>
      <c r="S84" s="549"/>
      <c r="T84" s="549"/>
      <c r="U84" s="549"/>
      <c r="V84" s="549"/>
      <c r="W84" s="692"/>
      <c r="X84" s="692"/>
      <c r="Y84" s="692"/>
      <c r="Z84" s="692"/>
      <c r="AA84" s="692"/>
      <c r="AB84" s="692"/>
      <c r="AC84" s="692"/>
      <c r="AD84" s="692"/>
      <c r="AE84" s="692"/>
      <c r="AF84" s="692"/>
      <c r="AG84" s="692"/>
      <c r="AH84" s="692"/>
      <c r="AI84" s="692"/>
      <c r="AJ84" s="692"/>
      <c r="AK84" s="692"/>
      <c r="AL84" s="692"/>
      <c r="AM84" s="692"/>
      <c r="AN84" s="692"/>
      <c r="AO84" s="692"/>
    </row>
    <row r="85" spans="1:41" ht="15.75">
      <c r="A85" s="555"/>
      <c r="B85" s="549"/>
      <c r="E85" s="691"/>
      <c r="F85" s="691"/>
      <c r="G85" s="691"/>
      <c r="H85" s="691"/>
      <c r="I85" s="691"/>
      <c r="J85" s="691"/>
      <c r="K85" s="691"/>
      <c r="L85" s="549"/>
      <c r="M85" s="691"/>
      <c r="N85" s="691"/>
      <c r="O85" s="691"/>
      <c r="P85" s="691"/>
      <c r="Q85" s="691"/>
      <c r="R85" s="549"/>
      <c r="S85" s="549"/>
      <c r="T85" s="549"/>
      <c r="U85" s="549"/>
      <c r="V85" s="549"/>
      <c r="W85" s="692"/>
      <c r="X85" s="692"/>
      <c r="Y85" s="692"/>
      <c r="Z85" s="692"/>
      <c r="AA85" s="692"/>
      <c r="AB85" s="692"/>
      <c r="AC85" s="692"/>
      <c r="AD85" s="692"/>
      <c r="AE85" s="692"/>
      <c r="AF85" s="692"/>
      <c r="AG85" s="692"/>
      <c r="AH85" s="692"/>
      <c r="AI85" s="692"/>
      <c r="AJ85" s="692"/>
      <c r="AK85" s="692"/>
      <c r="AL85" s="692"/>
      <c r="AM85" s="692"/>
      <c r="AN85" s="692"/>
      <c r="AO85" s="692"/>
    </row>
    <row r="86" spans="1:41" ht="15.75">
      <c r="A86" s="555"/>
      <c r="B86" s="549"/>
      <c r="E86" s="691"/>
      <c r="F86" s="691"/>
      <c r="G86" s="691"/>
      <c r="H86" s="691"/>
      <c r="I86" s="691"/>
      <c r="J86" s="691"/>
      <c r="K86" s="691"/>
      <c r="L86" s="549"/>
      <c r="M86" s="691"/>
      <c r="N86" s="691"/>
      <c r="O86" s="691"/>
      <c r="P86" s="691"/>
      <c r="Q86" s="691"/>
      <c r="R86" s="549"/>
      <c r="S86" s="549"/>
      <c r="T86" s="549"/>
      <c r="U86" s="549"/>
      <c r="V86" s="549"/>
      <c r="W86" s="692"/>
      <c r="X86" s="692"/>
      <c r="Y86" s="692"/>
      <c r="Z86" s="692"/>
      <c r="AA86" s="692"/>
      <c r="AB86" s="692"/>
      <c r="AC86" s="692"/>
      <c r="AD86" s="692"/>
      <c r="AE86" s="692"/>
      <c r="AF86" s="692"/>
      <c r="AG86" s="692"/>
      <c r="AH86" s="692"/>
      <c r="AI86" s="692"/>
      <c r="AJ86" s="692"/>
      <c r="AK86" s="692"/>
      <c r="AL86" s="692"/>
      <c r="AM86" s="692"/>
      <c r="AN86" s="692"/>
      <c r="AO86" s="692"/>
    </row>
    <row r="87" spans="1:41" ht="15.75">
      <c r="A87" s="555"/>
      <c r="B87" s="549"/>
      <c r="E87" s="691"/>
      <c r="F87" s="691"/>
      <c r="G87" s="691"/>
      <c r="H87" s="691"/>
      <c r="I87" s="691"/>
      <c r="J87" s="691"/>
      <c r="K87" s="691"/>
      <c r="L87" s="549"/>
      <c r="M87" s="691"/>
      <c r="N87" s="691"/>
      <c r="O87" s="691"/>
      <c r="P87" s="691"/>
      <c r="Q87" s="691"/>
      <c r="R87" s="549"/>
      <c r="S87" s="549"/>
      <c r="T87" s="549"/>
      <c r="U87" s="549"/>
      <c r="V87" s="549"/>
      <c r="W87" s="692"/>
      <c r="X87" s="692"/>
      <c r="Y87" s="692"/>
      <c r="Z87" s="692"/>
      <c r="AA87" s="692"/>
      <c r="AB87" s="692"/>
      <c r="AC87" s="692"/>
      <c r="AD87" s="692"/>
      <c r="AE87" s="692"/>
      <c r="AF87" s="692"/>
      <c r="AG87" s="692"/>
      <c r="AH87" s="692"/>
      <c r="AI87" s="692"/>
      <c r="AJ87" s="692"/>
      <c r="AK87" s="692"/>
      <c r="AL87" s="692"/>
      <c r="AM87" s="692"/>
      <c r="AN87" s="692"/>
      <c r="AO87" s="692"/>
    </row>
    <row r="88" spans="1:41" ht="15.75">
      <c r="A88" s="555"/>
      <c r="B88" s="549"/>
      <c r="E88" s="691"/>
      <c r="F88" s="691"/>
      <c r="G88" s="691"/>
      <c r="H88" s="691"/>
      <c r="I88" s="691"/>
      <c r="J88" s="691"/>
      <c r="K88" s="691"/>
      <c r="L88" s="549"/>
      <c r="M88" s="691"/>
      <c r="N88" s="691"/>
      <c r="O88" s="691"/>
      <c r="P88" s="691"/>
      <c r="Q88" s="691"/>
      <c r="R88" s="549"/>
      <c r="S88" s="549"/>
      <c r="T88" s="549"/>
      <c r="U88" s="549"/>
      <c r="V88" s="549"/>
      <c r="W88" s="692"/>
      <c r="X88" s="692"/>
      <c r="Y88" s="692"/>
      <c r="Z88" s="692"/>
      <c r="AA88" s="692"/>
      <c r="AB88" s="692"/>
      <c r="AC88" s="692"/>
      <c r="AD88" s="692"/>
      <c r="AE88" s="692"/>
      <c r="AF88" s="692"/>
      <c r="AG88" s="692"/>
      <c r="AH88" s="692"/>
      <c r="AI88" s="692"/>
      <c r="AJ88" s="692"/>
      <c r="AK88" s="692"/>
      <c r="AL88" s="692"/>
      <c r="AM88" s="692"/>
      <c r="AN88" s="692"/>
      <c r="AO88" s="692"/>
    </row>
    <row r="89" spans="1:41" ht="15.75">
      <c r="A89" s="555"/>
      <c r="B89" s="549"/>
      <c r="E89" s="691"/>
      <c r="F89" s="691"/>
      <c r="G89" s="691"/>
      <c r="H89" s="691"/>
      <c r="I89" s="691"/>
      <c r="J89" s="691"/>
      <c r="K89" s="691"/>
      <c r="L89" s="549"/>
      <c r="M89" s="691"/>
      <c r="N89" s="691"/>
      <c r="O89" s="691"/>
      <c r="P89" s="691"/>
      <c r="Q89" s="691"/>
      <c r="R89" s="549"/>
      <c r="S89" s="549"/>
      <c r="T89" s="549"/>
      <c r="U89" s="549"/>
      <c r="V89" s="549"/>
      <c r="W89" s="692"/>
      <c r="X89" s="692"/>
      <c r="Y89" s="692"/>
      <c r="Z89" s="692"/>
      <c r="AA89" s="692"/>
      <c r="AB89" s="692"/>
      <c r="AC89" s="692"/>
      <c r="AD89" s="692"/>
      <c r="AE89" s="692"/>
      <c r="AF89" s="692"/>
      <c r="AG89" s="692"/>
      <c r="AH89" s="692"/>
      <c r="AI89" s="692"/>
      <c r="AJ89" s="692"/>
      <c r="AK89" s="692"/>
      <c r="AL89" s="692"/>
      <c r="AM89" s="692"/>
      <c r="AN89" s="692"/>
      <c r="AO89" s="692"/>
    </row>
    <row r="90" spans="1:41" ht="15.75">
      <c r="A90" s="555"/>
      <c r="B90" s="549"/>
      <c r="E90" s="691"/>
      <c r="F90" s="691"/>
      <c r="G90" s="691"/>
      <c r="H90" s="691"/>
      <c r="I90" s="691"/>
      <c r="J90" s="691"/>
      <c r="K90" s="691"/>
      <c r="L90" s="549"/>
      <c r="M90" s="691"/>
      <c r="N90" s="691"/>
      <c r="O90" s="691"/>
      <c r="P90" s="691"/>
      <c r="Q90" s="691"/>
      <c r="R90" s="549"/>
      <c r="S90" s="549"/>
      <c r="T90" s="549"/>
      <c r="U90" s="549"/>
      <c r="V90" s="549"/>
      <c r="W90" s="692"/>
      <c r="X90" s="692"/>
      <c r="Y90" s="692"/>
      <c r="Z90" s="692"/>
      <c r="AA90" s="692"/>
      <c r="AB90" s="692"/>
      <c r="AC90" s="692"/>
      <c r="AD90" s="692"/>
      <c r="AE90" s="692"/>
      <c r="AF90" s="692"/>
      <c r="AG90" s="692"/>
      <c r="AH90" s="692"/>
      <c r="AI90" s="692"/>
      <c r="AJ90" s="692"/>
      <c r="AK90" s="692"/>
      <c r="AL90" s="692"/>
      <c r="AM90" s="692"/>
      <c r="AN90" s="692"/>
      <c r="AO90" s="692"/>
    </row>
    <row r="91" spans="1:41" ht="15.75">
      <c r="A91" s="555"/>
      <c r="B91" s="549"/>
      <c r="E91" s="691"/>
      <c r="F91" s="691"/>
      <c r="G91" s="691"/>
      <c r="H91" s="691"/>
      <c r="I91" s="691"/>
      <c r="J91" s="691"/>
      <c r="K91" s="691"/>
      <c r="L91" s="549"/>
      <c r="M91" s="691"/>
      <c r="N91" s="691"/>
      <c r="O91" s="691"/>
      <c r="P91" s="691"/>
      <c r="Q91" s="691"/>
      <c r="R91" s="549"/>
      <c r="S91" s="549"/>
      <c r="T91" s="549"/>
      <c r="U91" s="549"/>
      <c r="V91" s="549"/>
      <c r="W91" s="692"/>
      <c r="X91" s="692"/>
      <c r="Y91" s="692"/>
      <c r="Z91" s="692"/>
      <c r="AA91" s="692"/>
      <c r="AB91" s="692"/>
      <c r="AC91" s="692"/>
      <c r="AD91" s="692"/>
      <c r="AE91" s="692"/>
      <c r="AF91" s="692"/>
      <c r="AG91" s="692"/>
      <c r="AH91" s="692"/>
      <c r="AI91" s="692"/>
      <c r="AJ91" s="692"/>
      <c r="AK91" s="692"/>
      <c r="AL91" s="692"/>
      <c r="AM91" s="692"/>
      <c r="AN91" s="692"/>
      <c r="AO91" s="692"/>
    </row>
    <row r="92" spans="1:41" ht="15.75">
      <c r="A92" s="555"/>
      <c r="B92" s="549"/>
      <c r="E92" s="691"/>
      <c r="F92" s="691"/>
      <c r="G92" s="691"/>
      <c r="H92" s="691"/>
      <c r="I92" s="691"/>
      <c r="J92" s="691"/>
      <c r="K92" s="691"/>
      <c r="L92" s="549"/>
      <c r="M92" s="691"/>
      <c r="N92" s="691"/>
      <c r="O92" s="691"/>
      <c r="P92" s="691"/>
      <c r="Q92" s="691"/>
      <c r="R92" s="549"/>
      <c r="S92" s="549"/>
      <c r="T92" s="549"/>
      <c r="U92" s="549"/>
      <c r="V92" s="549"/>
      <c r="W92" s="692"/>
      <c r="X92" s="692"/>
      <c r="Y92" s="692"/>
      <c r="Z92" s="692"/>
      <c r="AA92" s="692"/>
      <c r="AB92" s="692"/>
      <c r="AC92" s="692"/>
      <c r="AD92" s="692"/>
      <c r="AE92" s="692"/>
      <c r="AF92" s="692"/>
      <c r="AG92" s="692"/>
      <c r="AH92" s="692"/>
      <c r="AI92" s="692"/>
      <c r="AJ92" s="692"/>
      <c r="AK92" s="692"/>
      <c r="AL92" s="692"/>
      <c r="AM92" s="692"/>
      <c r="AN92" s="692"/>
      <c r="AO92" s="692"/>
    </row>
    <row r="93" spans="1:41" ht="15.75">
      <c r="A93" s="555"/>
      <c r="B93" s="549"/>
      <c r="E93" s="691"/>
      <c r="F93" s="691"/>
      <c r="G93" s="691"/>
      <c r="H93" s="691"/>
      <c r="I93" s="691"/>
      <c r="J93" s="691"/>
      <c r="K93" s="691"/>
      <c r="L93" s="549"/>
      <c r="M93" s="691"/>
      <c r="N93" s="691"/>
      <c r="O93" s="691"/>
      <c r="P93" s="691"/>
      <c r="Q93" s="691"/>
      <c r="R93" s="549"/>
      <c r="S93" s="549"/>
      <c r="T93" s="549"/>
      <c r="U93" s="549"/>
      <c r="V93" s="549"/>
      <c r="W93" s="692"/>
      <c r="X93" s="692"/>
      <c r="Y93" s="692"/>
      <c r="Z93" s="692"/>
      <c r="AA93" s="692"/>
      <c r="AB93" s="692"/>
      <c r="AC93" s="692"/>
      <c r="AD93" s="692"/>
      <c r="AE93" s="692"/>
      <c r="AF93" s="692"/>
      <c r="AG93" s="692"/>
      <c r="AH93" s="692"/>
      <c r="AI93" s="692"/>
      <c r="AJ93" s="692"/>
      <c r="AK93" s="692"/>
      <c r="AL93" s="692"/>
      <c r="AM93" s="692"/>
      <c r="AN93" s="692"/>
      <c r="AO93" s="692"/>
    </row>
    <row r="94" spans="1:41" ht="15">
      <c r="A94" s="658"/>
      <c r="B94" s="658"/>
      <c r="C94" s="658"/>
      <c r="D94" s="658"/>
      <c r="E94" s="658"/>
      <c r="F94" s="658"/>
      <c r="G94" s="658"/>
      <c r="H94" s="658"/>
      <c r="I94" s="658"/>
      <c r="J94" s="658"/>
      <c r="K94" s="658"/>
      <c r="L94" s="658"/>
      <c r="M94" s="658"/>
      <c r="N94" s="658"/>
      <c r="O94" s="658"/>
      <c r="P94" s="658"/>
      <c r="Q94" s="658"/>
      <c r="R94" s="658"/>
      <c r="S94" s="658"/>
      <c r="T94" s="658"/>
      <c r="U94" s="658"/>
      <c r="V94" s="658"/>
      <c r="W94" s="692"/>
      <c r="X94" s="692"/>
      <c r="Y94" s="692"/>
      <c r="Z94" s="692"/>
      <c r="AA94" s="692"/>
      <c r="AB94" s="692"/>
      <c r="AC94" s="692"/>
      <c r="AD94" s="692"/>
      <c r="AE94" s="692"/>
      <c r="AF94" s="692"/>
      <c r="AG94" s="692"/>
      <c r="AH94" s="692"/>
      <c r="AI94" s="692"/>
      <c r="AJ94" s="692"/>
      <c r="AK94" s="692"/>
      <c r="AL94" s="692"/>
      <c r="AM94" s="692"/>
      <c r="AN94" s="692"/>
      <c r="AO94" s="692"/>
    </row>
    <row r="95" spans="1:41" ht="15">
      <c r="A95" s="658"/>
      <c r="B95" s="658"/>
      <c r="C95" s="658"/>
      <c r="D95" s="658"/>
      <c r="E95" s="658"/>
      <c r="F95" s="658"/>
      <c r="G95" s="658"/>
      <c r="H95" s="658"/>
      <c r="I95" s="658"/>
      <c r="J95" s="658"/>
      <c r="K95" s="658"/>
      <c r="L95" s="658"/>
      <c r="M95" s="658"/>
      <c r="N95" s="658"/>
      <c r="O95" s="658"/>
      <c r="P95" s="658"/>
      <c r="Q95" s="658"/>
      <c r="R95" s="658"/>
      <c r="S95" s="658"/>
      <c r="T95" s="658"/>
      <c r="U95" s="658"/>
      <c r="V95" s="658"/>
      <c r="W95" s="692"/>
      <c r="X95" s="692"/>
      <c r="Y95" s="692"/>
      <c r="Z95" s="692"/>
      <c r="AA95" s="692"/>
      <c r="AB95" s="692"/>
      <c r="AC95" s="692"/>
      <c r="AD95" s="692"/>
      <c r="AE95" s="692"/>
      <c r="AF95" s="692"/>
      <c r="AG95" s="692"/>
      <c r="AH95" s="692"/>
      <c r="AI95" s="692"/>
      <c r="AJ95" s="692"/>
      <c r="AK95" s="692"/>
      <c r="AL95" s="692"/>
      <c r="AM95" s="692"/>
      <c r="AN95" s="692"/>
      <c r="AO95" s="692"/>
    </row>
    <row r="96" spans="1:41" ht="15">
      <c r="A96" s="658"/>
      <c r="B96" s="658"/>
      <c r="C96" s="658"/>
      <c r="D96" s="658"/>
      <c r="E96" s="658"/>
      <c r="F96" s="658"/>
      <c r="G96" s="658"/>
      <c r="H96" s="658"/>
      <c r="I96" s="658"/>
      <c r="J96" s="658"/>
      <c r="K96" s="658"/>
      <c r="L96" s="658"/>
      <c r="M96" s="658"/>
      <c r="N96" s="658"/>
      <c r="O96" s="658"/>
      <c r="P96" s="658"/>
      <c r="Q96" s="658"/>
      <c r="R96" s="658"/>
      <c r="S96" s="658"/>
      <c r="T96" s="658"/>
      <c r="U96" s="658"/>
      <c r="V96" s="658"/>
      <c r="W96" s="692"/>
      <c r="X96" s="692"/>
      <c r="Y96" s="692"/>
      <c r="Z96" s="692"/>
      <c r="AA96" s="692"/>
      <c r="AB96" s="692"/>
      <c r="AC96" s="692"/>
      <c r="AD96" s="692"/>
      <c r="AE96" s="692"/>
      <c r="AF96" s="692"/>
      <c r="AG96" s="692"/>
      <c r="AH96" s="692"/>
      <c r="AI96" s="692"/>
      <c r="AJ96" s="692"/>
      <c r="AK96" s="692"/>
      <c r="AL96" s="692"/>
      <c r="AM96" s="692"/>
      <c r="AN96" s="692"/>
      <c r="AO96" s="692"/>
    </row>
    <row r="97" spans="1:22" ht="15">
      <c r="A97" s="658"/>
      <c r="B97" s="658"/>
      <c r="C97" s="658"/>
      <c r="D97" s="658"/>
      <c r="E97" s="658"/>
      <c r="F97" s="658"/>
      <c r="G97" s="658"/>
      <c r="H97" s="658"/>
      <c r="I97" s="658"/>
      <c r="J97" s="658"/>
      <c r="K97" s="658"/>
      <c r="L97" s="658"/>
      <c r="M97" s="658"/>
      <c r="N97" s="658"/>
      <c r="O97" s="658"/>
      <c r="P97" s="658"/>
      <c r="Q97" s="658"/>
      <c r="R97" s="658"/>
      <c r="S97" s="658"/>
      <c r="T97" s="658"/>
      <c r="U97" s="658"/>
      <c r="V97" s="658"/>
    </row>
    <row r="98" spans="1:22" ht="15">
      <c r="A98" s="658"/>
      <c r="B98" s="658"/>
      <c r="C98" s="658"/>
      <c r="D98" s="658"/>
      <c r="E98" s="658"/>
      <c r="F98" s="658"/>
      <c r="G98" s="658"/>
      <c r="H98" s="658"/>
      <c r="I98" s="658"/>
      <c r="J98" s="658"/>
      <c r="K98" s="658"/>
      <c r="L98" s="658"/>
      <c r="M98" s="658"/>
      <c r="N98" s="658"/>
      <c r="O98" s="658"/>
      <c r="P98" s="658"/>
      <c r="Q98" s="658"/>
      <c r="R98" s="658"/>
      <c r="S98" s="658"/>
      <c r="T98" s="658"/>
      <c r="U98" s="658"/>
      <c r="V98" s="658"/>
    </row>
    <row r="99" spans="1:22" ht="15">
      <c r="A99" s="658"/>
      <c r="B99" s="658"/>
      <c r="C99" s="658"/>
      <c r="D99" s="658"/>
      <c r="E99" s="658"/>
      <c r="F99" s="658"/>
      <c r="G99" s="658"/>
      <c r="H99" s="658"/>
      <c r="I99" s="658"/>
      <c r="J99" s="658"/>
      <c r="K99" s="658"/>
      <c r="L99" s="658"/>
      <c r="M99" s="658"/>
      <c r="N99" s="658"/>
      <c r="O99" s="658"/>
      <c r="P99" s="658"/>
      <c r="Q99" s="658"/>
      <c r="R99" s="658"/>
      <c r="S99" s="658"/>
      <c r="T99" s="658"/>
      <c r="U99" s="658"/>
      <c r="V99" s="658"/>
    </row>
    <row r="100" spans="1:22" ht="15">
      <c r="A100" s="658"/>
      <c r="B100" s="658"/>
      <c r="C100" s="658"/>
      <c r="D100" s="658"/>
      <c r="E100" s="658"/>
      <c r="F100" s="658"/>
      <c r="G100" s="658"/>
      <c r="H100" s="658"/>
      <c r="I100" s="658"/>
      <c r="J100" s="658"/>
      <c r="K100" s="658"/>
      <c r="L100" s="658"/>
      <c r="M100" s="658"/>
      <c r="N100" s="658"/>
      <c r="O100" s="658"/>
      <c r="P100" s="658"/>
      <c r="Q100" s="658"/>
      <c r="R100" s="658"/>
      <c r="S100" s="658"/>
      <c r="T100" s="658"/>
      <c r="U100" s="658"/>
      <c r="V100" s="658"/>
    </row>
    <row r="101" spans="1:22" ht="12.75" customHeight="1">
      <c r="A101" s="658"/>
      <c r="B101" s="658"/>
      <c r="C101" s="658"/>
      <c r="D101" s="658"/>
      <c r="E101" s="658"/>
      <c r="F101" s="658"/>
      <c r="G101" s="658"/>
      <c r="H101" s="658"/>
      <c r="I101" s="658"/>
      <c r="J101" s="658"/>
      <c r="K101" s="658"/>
      <c r="L101" s="658"/>
      <c r="M101" s="658"/>
      <c r="N101" s="658"/>
      <c r="O101" s="658"/>
      <c r="P101" s="658"/>
      <c r="Q101" s="658"/>
      <c r="R101" s="658"/>
      <c r="S101" s="658"/>
      <c r="T101" s="658"/>
      <c r="U101" s="658"/>
      <c r="V101" s="658"/>
    </row>
    <row r="102" spans="1:22" ht="12.75" customHeight="1">
      <c r="A102" s="658"/>
      <c r="B102" s="658"/>
      <c r="C102" s="658"/>
      <c r="D102" s="658"/>
      <c r="E102" s="658"/>
      <c r="F102" s="658"/>
      <c r="G102" s="658"/>
      <c r="H102" s="658"/>
      <c r="I102" s="658"/>
      <c r="J102" s="658"/>
      <c r="K102" s="658"/>
      <c r="L102" s="658"/>
      <c r="M102" s="658"/>
      <c r="N102" s="658"/>
      <c r="O102" s="658"/>
      <c r="P102" s="658"/>
      <c r="Q102" s="658"/>
      <c r="R102" s="658"/>
      <c r="S102" s="658"/>
      <c r="T102" s="658"/>
      <c r="U102" s="658"/>
      <c r="V102" s="658"/>
    </row>
    <row r="103" spans="1:22" ht="12.75" customHeight="1">
      <c r="A103" s="658"/>
      <c r="B103" s="658"/>
      <c r="C103" s="658"/>
      <c r="D103" s="658"/>
      <c r="E103" s="658"/>
      <c r="F103" s="658"/>
      <c r="G103" s="658"/>
      <c r="H103" s="658"/>
      <c r="I103" s="658"/>
      <c r="J103" s="658"/>
      <c r="K103" s="658"/>
      <c r="L103" s="658"/>
      <c r="M103" s="658"/>
      <c r="N103" s="658"/>
      <c r="O103" s="658"/>
      <c r="P103" s="658"/>
      <c r="Q103" s="658"/>
      <c r="R103" s="658"/>
      <c r="S103" s="658"/>
      <c r="T103" s="658"/>
      <c r="U103" s="658"/>
      <c r="V103" s="658"/>
    </row>
    <row r="104" spans="1:22" ht="12.75" customHeight="1">
      <c r="A104" s="658"/>
      <c r="B104" s="658"/>
      <c r="C104" s="658"/>
      <c r="D104" s="658"/>
      <c r="E104" s="658"/>
      <c r="F104" s="658"/>
      <c r="G104" s="658"/>
      <c r="H104" s="658"/>
      <c r="I104" s="658"/>
      <c r="J104" s="658"/>
      <c r="K104" s="658"/>
      <c r="L104" s="658"/>
      <c r="M104" s="658"/>
      <c r="N104" s="658"/>
      <c r="O104" s="658"/>
      <c r="P104" s="658"/>
      <c r="Q104" s="658"/>
      <c r="R104" s="658"/>
      <c r="S104" s="658"/>
      <c r="T104" s="658"/>
      <c r="U104" s="658"/>
      <c r="V104" s="658"/>
    </row>
    <row r="105" spans="1:22" ht="12.75" customHeight="1">
      <c r="A105" s="658"/>
      <c r="B105" s="658"/>
      <c r="C105" s="658"/>
      <c r="D105" s="658"/>
      <c r="E105" s="658"/>
      <c r="F105" s="658"/>
      <c r="G105" s="658"/>
      <c r="H105" s="658"/>
      <c r="I105" s="658"/>
      <c r="J105" s="658"/>
      <c r="K105" s="658"/>
      <c r="L105" s="658"/>
      <c r="M105" s="658"/>
      <c r="N105" s="658"/>
      <c r="O105" s="658"/>
      <c r="P105" s="658"/>
      <c r="Q105" s="658"/>
      <c r="R105" s="658"/>
      <c r="S105" s="658"/>
      <c r="T105" s="658"/>
      <c r="U105" s="658"/>
      <c r="V105" s="658"/>
    </row>
    <row r="106" spans="1:22" ht="12.75" customHeight="1">
      <c r="A106" s="658"/>
      <c r="B106" s="658"/>
      <c r="C106" s="658"/>
      <c r="D106" s="658"/>
      <c r="E106" s="658"/>
      <c r="F106" s="658"/>
      <c r="G106" s="658"/>
      <c r="H106" s="658"/>
      <c r="I106" s="658"/>
      <c r="J106" s="658"/>
      <c r="K106" s="658"/>
      <c r="L106" s="658"/>
      <c r="M106" s="658"/>
      <c r="N106" s="658"/>
      <c r="O106" s="658"/>
      <c r="P106" s="658"/>
      <c r="Q106" s="658"/>
      <c r="R106" s="658"/>
      <c r="S106" s="658"/>
      <c r="T106" s="658"/>
      <c r="U106" s="658"/>
      <c r="V106" s="658"/>
    </row>
    <row r="107" spans="1:22" ht="12.75" customHeight="1">
      <c r="A107" s="658"/>
      <c r="B107" s="658"/>
      <c r="C107" s="658"/>
      <c r="D107" s="658"/>
      <c r="E107" s="658"/>
      <c r="F107" s="658"/>
      <c r="G107" s="658"/>
      <c r="H107" s="658"/>
      <c r="I107" s="658"/>
      <c r="J107" s="658"/>
      <c r="K107" s="658"/>
      <c r="L107" s="658"/>
      <c r="M107" s="658"/>
      <c r="N107" s="658"/>
      <c r="O107" s="658"/>
      <c r="P107" s="658"/>
      <c r="Q107" s="658"/>
      <c r="R107" s="658"/>
      <c r="S107" s="658"/>
      <c r="T107" s="658"/>
      <c r="U107" s="658"/>
      <c r="V107" s="658"/>
    </row>
    <row r="108" spans="1:22" ht="12.75" customHeight="1">
      <c r="A108" s="658"/>
      <c r="B108" s="658"/>
      <c r="C108" s="658"/>
      <c r="D108" s="658"/>
      <c r="E108" s="658"/>
      <c r="F108" s="658"/>
      <c r="G108" s="658"/>
      <c r="H108" s="658"/>
      <c r="I108" s="658"/>
      <c r="J108" s="658"/>
      <c r="K108" s="658"/>
      <c r="L108" s="658"/>
      <c r="M108" s="658"/>
      <c r="N108" s="658"/>
      <c r="O108" s="658"/>
      <c r="P108" s="658"/>
      <c r="Q108" s="658"/>
      <c r="R108" s="658"/>
      <c r="S108" s="658"/>
      <c r="T108" s="658"/>
      <c r="U108" s="658"/>
      <c r="V108" s="658"/>
    </row>
    <row r="109" spans="1:22" ht="12.75" customHeight="1">
      <c r="A109" s="658"/>
      <c r="B109" s="658"/>
      <c r="C109" s="658"/>
      <c r="D109" s="658"/>
      <c r="E109" s="658"/>
      <c r="F109" s="658"/>
      <c r="G109" s="658"/>
      <c r="H109" s="658"/>
      <c r="I109" s="658"/>
      <c r="J109" s="658"/>
      <c r="K109" s="658"/>
      <c r="L109" s="658"/>
      <c r="M109" s="658"/>
      <c r="N109" s="658"/>
      <c r="O109" s="658"/>
      <c r="P109" s="658"/>
      <c r="Q109" s="658"/>
      <c r="R109" s="658"/>
      <c r="S109" s="658"/>
      <c r="T109" s="658"/>
      <c r="U109" s="658"/>
      <c r="V109" s="658"/>
    </row>
    <row r="110" spans="1:22" ht="12.75" customHeight="1">
      <c r="A110" s="658"/>
      <c r="B110" s="658"/>
      <c r="C110" s="658"/>
      <c r="D110" s="658"/>
      <c r="E110" s="658"/>
      <c r="F110" s="658"/>
      <c r="G110" s="658"/>
      <c r="H110" s="658"/>
      <c r="I110" s="658"/>
      <c r="J110" s="658"/>
      <c r="K110" s="658"/>
      <c r="L110" s="658"/>
      <c r="M110" s="658"/>
      <c r="N110" s="658"/>
      <c r="O110" s="658"/>
      <c r="P110" s="658"/>
      <c r="Q110" s="658"/>
      <c r="R110" s="658"/>
      <c r="S110" s="658"/>
      <c r="T110" s="658"/>
      <c r="U110" s="658"/>
      <c r="V110" s="658"/>
    </row>
    <row r="111" spans="1:22" ht="12.75" customHeight="1">
      <c r="A111" s="658"/>
      <c r="B111" s="658"/>
      <c r="C111" s="658"/>
      <c r="D111" s="658"/>
      <c r="E111" s="658"/>
      <c r="F111" s="658"/>
      <c r="G111" s="658"/>
      <c r="H111" s="658"/>
      <c r="I111" s="658"/>
      <c r="J111" s="658"/>
      <c r="K111" s="658"/>
      <c r="L111" s="658"/>
      <c r="M111" s="658"/>
      <c r="N111" s="658"/>
      <c r="O111" s="658"/>
      <c r="P111" s="658"/>
      <c r="Q111" s="658"/>
      <c r="R111" s="658"/>
      <c r="S111" s="658"/>
      <c r="T111" s="658"/>
      <c r="U111" s="658"/>
      <c r="V111" s="658"/>
    </row>
    <row r="112" spans="1:22" ht="15">
      <c r="A112" s="658"/>
      <c r="B112" s="658"/>
      <c r="C112" s="658"/>
      <c r="D112" s="658"/>
      <c r="E112" s="658"/>
      <c r="F112" s="658"/>
      <c r="G112" s="658"/>
      <c r="H112" s="658"/>
      <c r="I112" s="658"/>
      <c r="J112" s="658"/>
      <c r="K112" s="658"/>
      <c r="L112" s="658"/>
      <c r="M112" s="658"/>
      <c r="N112" s="658"/>
      <c r="O112" s="658"/>
      <c r="P112" s="658"/>
      <c r="Q112" s="658"/>
      <c r="R112" s="658"/>
      <c r="S112" s="658"/>
      <c r="T112" s="658"/>
      <c r="U112" s="658"/>
      <c r="V112" s="658"/>
    </row>
    <row r="113" spans="1:22" ht="15">
      <c r="A113" s="658"/>
      <c r="B113" s="658"/>
      <c r="C113" s="658"/>
      <c r="D113" s="658"/>
      <c r="E113" s="658"/>
      <c r="F113" s="658"/>
      <c r="G113" s="658"/>
      <c r="H113" s="658"/>
      <c r="I113" s="658"/>
      <c r="J113" s="658"/>
      <c r="K113" s="658"/>
      <c r="L113" s="658"/>
      <c r="M113" s="658"/>
      <c r="N113" s="658"/>
      <c r="O113" s="658"/>
      <c r="P113" s="658"/>
      <c r="Q113" s="658"/>
      <c r="R113" s="658"/>
      <c r="S113" s="658"/>
      <c r="T113" s="658"/>
      <c r="U113" s="658"/>
      <c r="V113" s="658"/>
    </row>
    <row r="114" spans="1:22" ht="15">
      <c r="A114" s="658"/>
      <c r="B114" s="658"/>
      <c r="C114" s="658"/>
      <c r="D114" s="658"/>
      <c r="E114" s="658"/>
      <c r="F114" s="658"/>
      <c r="G114" s="658"/>
      <c r="H114" s="658"/>
      <c r="I114" s="658"/>
      <c r="J114" s="658"/>
      <c r="K114" s="658"/>
      <c r="L114" s="658"/>
      <c r="M114" s="658"/>
      <c r="N114" s="658"/>
      <c r="O114" s="658"/>
      <c r="P114" s="658"/>
      <c r="Q114" s="658"/>
      <c r="R114" s="658"/>
      <c r="S114" s="658"/>
      <c r="T114" s="658"/>
      <c r="U114" s="658"/>
      <c r="V114" s="658"/>
    </row>
    <row r="115" spans="1:22" ht="15">
      <c r="A115" s="658"/>
      <c r="B115" s="658"/>
      <c r="C115" s="658"/>
      <c r="D115" s="658"/>
      <c r="E115" s="658"/>
      <c r="F115" s="658"/>
      <c r="G115" s="658"/>
      <c r="H115" s="658"/>
      <c r="I115" s="658"/>
      <c r="J115" s="658"/>
      <c r="K115" s="658"/>
      <c r="L115" s="658"/>
      <c r="M115" s="658"/>
      <c r="N115" s="658"/>
      <c r="O115" s="658"/>
      <c r="P115" s="658"/>
      <c r="Q115" s="658"/>
      <c r="R115" s="658"/>
      <c r="S115" s="658"/>
      <c r="T115" s="658"/>
      <c r="U115" s="658"/>
      <c r="V115" s="658"/>
    </row>
    <row r="116" spans="1:22" ht="15">
      <c r="A116" s="658"/>
      <c r="B116" s="658"/>
      <c r="C116" s="658"/>
      <c r="D116" s="658"/>
      <c r="E116" s="658"/>
      <c r="F116" s="658"/>
      <c r="G116" s="658"/>
      <c r="H116" s="658"/>
      <c r="I116" s="658"/>
      <c r="J116" s="658"/>
      <c r="K116" s="658"/>
      <c r="L116" s="658"/>
      <c r="M116" s="658"/>
      <c r="N116" s="658"/>
      <c r="O116" s="658"/>
      <c r="P116" s="658"/>
      <c r="Q116" s="658"/>
      <c r="R116" s="658"/>
      <c r="S116" s="658"/>
      <c r="T116" s="658"/>
      <c r="U116" s="658"/>
      <c r="V116" s="658"/>
    </row>
    <row r="117" spans="1:22" ht="15">
      <c r="A117" s="658"/>
      <c r="B117" s="658"/>
      <c r="C117" s="658"/>
      <c r="D117" s="658"/>
      <c r="E117" s="658"/>
      <c r="F117" s="658"/>
      <c r="G117" s="658"/>
      <c r="H117" s="658"/>
      <c r="I117" s="658"/>
      <c r="J117" s="658"/>
      <c r="K117" s="658"/>
      <c r="L117" s="658"/>
      <c r="M117" s="658"/>
      <c r="N117" s="658"/>
      <c r="O117" s="658"/>
      <c r="P117" s="658"/>
      <c r="Q117" s="658"/>
      <c r="R117" s="658"/>
      <c r="S117" s="658"/>
      <c r="T117" s="658"/>
      <c r="U117" s="658"/>
      <c r="V117" s="658"/>
    </row>
    <row r="118" spans="1:22" ht="15">
      <c r="A118" s="658"/>
      <c r="B118" s="658"/>
      <c r="C118" s="658"/>
      <c r="D118" s="658"/>
      <c r="E118" s="658"/>
      <c r="F118" s="658"/>
      <c r="G118" s="658"/>
      <c r="H118" s="658"/>
      <c r="I118" s="658"/>
      <c r="J118" s="658"/>
      <c r="K118" s="658"/>
      <c r="L118" s="658"/>
      <c r="M118" s="658"/>
      <c r="N118" s="658"/>
      <c r="O118" s="658"/>
      <c r="P118" s="658"/>
      <c r="Q118" s="658"/>
      <c r="R118" s="658"/>
      <c r="S118" s="658"/>
      <c r="T118" s="658"/>
      <c r="U118" s="658"/>
      <c r="V118" s="658"/>
    </row>
    <row r="119" spans="1:22" ht="15">
      <c r="A119" s="658"/>
      <c r="B119" s="658"/>
      <c r="C119" s="658"/>
      <c r="D119" s="658"/>
      <c r="E119" s="658"/>
      <c r="F119" s="658"/>
      <c r="G119" s="658"/>
      <c r="H119" s="658"/>
      <c r="I119" s="658"/>
      <c r="J119" s="658"/>
      <c r="K119" s="658"/>
      <c r="L119" s="658"/>
      <c r="M119" s="658"/>
      <c r="N119" s="658"/>
      <c r="O119" s="658"/>
      <c r="P119" s="658"/>
      <c r="Q119" s="658"/>
      <c r="R119" s="658"/>
      <c r="S119" s="658"/>
      <c r="T119" s="658"/>
      <c r="U119" s="658"/>
      <c r="V119" s="658"/>
    </row>
    <row r="120" spans="1:22" ht="15">
      <c r="A120" s="658"/>
      <c r="B120" s="658"/>
      <c r="C120" s="658"/>
      <c r="D120" s="658"/>
      <c r="E120" s="658"/>
      <c r="F120" s="658"/>
      <c r="G120" s="658"/>
      <c r="H120" s="658"/>
      <c r="I120" s="658"/>
      <c r="J120" s="658"/>
      <c r="K120" s="658"/>
      <c r="L120" s="658"/>
      <c r="M120" s="658"/>
      <c r="N120" s="658"/>
      <c r="O120" s="658"/>
      <c r="P120" s="658"/>
      <c r="Q120" s="658"/>
      <c r="R120" s="658"/>
      <c r="S120" s="658"/>
      <c r="T120" s="658"/>
      <c r="U120" s="658"/>
      <c r="V120" s="658"/>
    </row>
    <row r="121" spans="1:22" ht="15">
      <c r="A121" s="658"/>
      <c r="B121" s="658"/>
      <c r="C121" s="658"/>
      <c r="D121" s="658"/>
      <c r="E121" s="658"/>
      <c r="F121" s="658"/>
      <c r="G121" s="658"/>
      <c r="H121" s="658"/>
      <c r="I121" s="658"/>
      <c r="J121" s="658"/>
      <c r="K121" s="658"/>
      <c r="L121" s="658"/>
      <c r="M121" s="658"/>
      <c r="N121" s="658"/>
      <c r="O121" s="658"/>
      <c r="P121" s="658"/>
      <c r="Q121" s="658"/>
      <c r="R121" s="658"/>
      <c r="S121" s="658"/>
      <c r="T121" s="658"/>
      <c r="U121" s="658"/>
      <c r="V121" s="658"/>
    </row>
    <row r="122" spans="1:22" ht="15">
      <c r="A122" s="658"/>
      <c r="B122" s="658"/>
      <c r="C122" s="658"/>
      <c r="D122" s="658"/>
      <c r="E122" s="658"/>
      <c r="F122" s="658"/>
      <c r="G122" s="658"/>
      <c r="H122" s="658"/>
      <c r="I122" s="658"/>
      <c r="J122" s="658"/>
      <c r="K122" s="658"/>
      <c r="L122" s="658"/>
      <c r="M122" s="658"/>
      <c r="N122" s="658"/>
      <c r="O122" s="658"/>
      <c r="P122" s="658"/>
      <c r="Q122" s="658"/>
      <c r="R122" s="658"/>
      <c r="S122" s="658"/>
      <c r="T122" s="658"/>
      <c r="U122" s="658"/>
      <c r="V122" s="658"/>
    </row>
    <row r="123" spans="1:22" ht="15">
      <c r="A123" s="658"/>
      <c r="B123" s="658"/>
      <c r="C123" s="658"/>
      <c r="D123" s="658"/>
      <c r="E123" s="658"/>
      <c r="F123" s="658"/>
      <c r="G123" s="658"/>
      <c r="H123" s="658"/>
      <c r="I123" s="658"/>
      <c r="J123" s="658"/>
      <c r="K123" s="658"/>
      <c r="L123" s="658"/>
      <c r="M123" s="658"/>
      <c r="N123" s="658"/>
      <c r="O123" s="658"/>
      <c r="P123" s="658"/>
      <c r="Q123" s="658"/>
      <c r="R123" s="658"/>
      <c r="S123" s="658"/>
      <c r="T123" s="658"/>
      <c r="U123" s="658"/>
      <c r="V123" s="658"/>
    </row>
    <row r="124" spans="1:22" ht="15">
      <c r="A124" s="658"/>
      <c r="B124" s="658"/>
      <c r="C124" s="658"/>
      <c r="D124" s="658"/>
      <c r="E124" s="658"/>
      <c r="F124" s="658"/>
      <c r="G124" s="658"/>
      <c r="H124" s="658"/>
      <c r="I124" s="658"/>
      <c r="J124" s="658"/>
      <c r="K124" s="658"/>
      <c r="L124" s="658"/>
      <c r="M124" s="658"/>
      <c r="N124" s="658"/>
      <c r="O124" s="658"/>
      <c r="P124" s="658"/>
      <c r="Q124" s="658"/>
      <c r="R124" s="658"/>
      <c r="S124" s="658"/>
      <c r="T124" s="658"/>
      <c r="U124" s="658"/>
      <c r="V124" s="658"/>
    </row>
    <row r="125" spans="1:22" ht="15">
      <c r="A125" s="658"/>
      <c r="B125" s="658"/>
      <c r="C125" s="658"/>
      <c r="D125" s="658"/>
      <c r="E125" s="658"/>
      <c r="F125" s="658"/>
      <c r="G125" s="658"/>
      <c r="H125" s="658"/>
      <c r="I125" s="658"/>
      <c r="J125" s="658"/>
      <c r="K125" s="658"/>
      <c r="L125" s="658"/>
      <c r="M125" s="658"/>
      <c r="N125" s="658"/>
      <c r="O125" s="658"/>
      <c r="P125" s="658"/>
      <c r="Q125" s="658"/>
      <c r="R125" s="658"/>
      <c r="S125" s="658"/>
      <c r="T125" s="658"/>
      <c r="U125" s="658"/>
      <c r="V125" s="658"/>
    </row>
    <row r="126" spans="1:22" ht="15">
      <c r="A126" s="658"/>
      <c r="B126" s="658"/>
      <c r="C126" s="658"/>
      <c r="D126" s="658"/>
      <c r="E126" s="658"/>
      <c r="F126" s="658"/>
      <c r="G126" s="658"/>
      <c r="H126" s="658"/>
      <c r="I126" s="658"/>
      <c r="J126" s="658"/>
      <c r="K126" s="658"/>
      <c r="L126" s="658"/>
      <c r="M126" s="658"/>
      <c r="N126" s="658"/>
      <c r="O126" s="658"/>
      <c r="P126" s="658"/>
      <c r="Q126" s="658"/>
      <c r="R126" s="658"/>
      <c r="S126" s="658"/>
      <c r="T126" s="658"/>
      <c r="U126" s="658"/>
      <c r="V126" s="658"/>
    </row>
    <row r="127" spans="1:22" ht="15">
      <c r="A127" s="658"/>
      <c r="B127" s="658"/>
      <c r="C127" s="658"/>
      <c r="D127" s="658"/>
      <c r="E127" s="658"/>
      <c r="F127" s="658"/>
      <c r="G127" s="658"/>
      <c r="H127" s="658"/>
      <c r="I127" s="658"/>
      <c r="J127" s="658"/>
      <c r="K127" s="658"/>
      <c r="L127" s="658"/>
      <c r="M127" s="658"/>
      <c r="N127" s="658"/>
      <c r="O127" s="658"/>
      <c r="P127" s="658"/>
      <c r="Q127" s="658"/>
      <c r="R127" s="658"/>
      <c r="S127" s="658"/>
      <c r="T127" s="658"/>
      <c r="U127" s="658"/>
      <c r="V127" s="658"/>
    </row>
    <row r="128" spans="1:22" ht="15">
      <c r="A128" s="658"/>
      <c r="B128" s="658"/>
      <c r="C128" s="658"/>
      <c r="D128" s="658"/>
      <c r="E128" s="658"/>
      <c r="F128" s="658"/>
      <c r="G128" s="658"/>
      <c r="H128" s="658"/>
      <c r="I128" s="658"/>
      <c r="J128" s="658"/>
      <c r="K128" s="658"/>
      <c r="L128" s="658"/>
      <c r="M128" s="658"/>
      <c r="N128" s="658"/>
      <c r="O128" s="658"/>
      <c r="P128" s="658"/>
      <c r="Q128" s="658"/>
      <c r="R128" s="658"/>
      <c r="S128" s="658"/>
      <c r="T128" s="658"/>
      <c r="U128" s="658"/>
      <c r="V128" s="658"/>
    </row>
    <row r="129" spans="1:22" ht="15">
      <c r="A129" s="658"/>
      <c r="B129" s="658"/>
      <c r="C129" s="658"/>
      <c r="D129" s="658"/>
      <c r="E129" s="658"/>
      <c r="F129" s="658"/>
      <c r="G129" s="658"/>
      <c r="H129" s="658"/>
      <c r="I129" s="658"/>
      <c r="J129" s="658"/>
      <c r="K129" s="658"/>
      <c r="L129" s="658"/>
      <c r="M129" s="658"/>
      <c r="N129" s="658"/>
      <c r="O129" s="658"/>
      <c r="P129" s="658"/>
      <c r="Q129" s="658"/>
      <c r="R129" s="658"/>
      <c r="S129" s="658"/>
      <c r="T129" s="658"/>
      <c r="U129" s="658"/>
      <c r="V129" s="658"/>
    </row>
    <row r="130" spans="1:22" ht="15">
      <c r="A130" s="658"/>
      <c r="B130" s="658"/>
      <c r="C130" s="658"/>
      <c r="D130" s="658"/>
      <c r="E130" s="658"/>
      <c r="F130" s="658"/>
      <c r="G130" s="658"/>
      <c r="H130" s="658"/>
      <c r="I130" s="658"/>
      <c r="J130" s="658"/>
      <c r="K130" s="658"/>
      <c r="L130" s="658"/>
      <c r="M130" s="658"/>
      <c r="N130" s="658"/>
      <c r="O130" s="658"/>
      <c r="P130" s="658"/>
      <c r="Q130" s="658"/>
      <c r="R130" s="658"/>
      <c r="S130" s="658"/>
      <c r="T130" s="658"/>
      <c r="U130" s="658"/>
      <c r="V130" s="658"/>
    </row>
    <row r="131" spans="1:22" ht="15">
      <c r="A131" s="658"/>
      <c r="B131" s="658"/>
      <c r="C131" s="658"/>
      <c r="D131" s="658"/>
      <c r="E131" s="658"/>
      <c r="F131" s="658"/>
      <c r="G131" s="658"/>
      <c r="H131" s="658"/>
      <c r="I131" s="658"/>
      <c r="J131" s="658"/>
      <c r="K131" s="658"/>
      <c r="L131" s="658"/>
      <c r="M131" s="658"/>
      <c r="N131" s="658"/>
      <c r="O131" s="658"/>
      <c r="P131" s="658"/>
      <c r="Q131" s="658"/>
      <c r="R131" s="658"/>
      <c r="S131" s="658"/>
      <c r="T131" s="658"/>
      <c r="U131" s="658"/>
      <c r="V131" s="658"/>
    </row>
    <row r="132" spans="1:22" ht="12.75" customHeight="1">
      <c r="A132" s="658"/>
      <c r="B132" s="658"/>
      <c r="C132" s="658"/>
      <c r="D132" s="658"/>
      <c r="E132" s="658"/>
      <c r="F132" s="658"/>
      <c r="G132" s="658"/>
      <c r="H132" s="658"/>
      <c r="I132" s="658"/>
      <c r="J132" s="658"/>
      <c r="K132" s="658"/>
      <c r="L132" s="658"/>
      <c r="M132" s="658"/>
      <c r="N132" s="658"/>
      <c r="O132" s="658"/>
      <c r="P132" s="658"/>
      <c r="Q132" s="658"/>
      <c r="R132" s="658"/>
      <c r="S132" s="658"/>
      <c r="T132" s="658"/>
      <c r="U132" s="658"/>
      <c r="V132" s="658"/>
    </row>
    <row r="133" spans="1:22" ht="12.75" customHeight="1">
      <c r="A133" s="658"/>
      <c r="B133" s="658"/>
      <c r="C133" s="658"/>
      <c r="D133" s="658"/>
      <c r="E133" s="658"/>
      <c r="F133" s="658"/>
      <c r="G133" s="658"/>
      <c r="H133" s="658"/>
      <c r="I133" s="658"/>
      <c r="J133" s="658"/>
      <c r="K133" s="658"/>
      <c r="L133" s="658"/>
      <c r="M133" s="658"/>
      <c r="N133" s="658"/>
      <c r="O133" s="658"/>
      <c r="P133" s="658"/>
      <c r="Q133" s="658"/>
      <c r="R133" s="658"/>
      <c r="S133" s="658"/>
      <c r="T133" s="658"/>
      <c r="U133" s="658"/>
      <c r="V133" s="658"/>
    </row>
    <row r="134" spans="1:22" ht="12.75" customHeight="1">
      <c r="A134" s="658"/>
      <c r="B134" s="658"/>
      <c r="C134" s="658"/>
      <c r="D134" s="658"/>
      <c r="E134" s="658"/>
      <c r="F134" s="658"/>
      <c r="G134" s="658"/>
      <c r="H134" s="658"/>
      <c r="I134" s="658"/>
      <c r="J134" s="658"/>
      <c r="K134" s="658"/>
      <c r="L134" s="658"/>
      <c r="M134" s="658"/>
      <c r="N134" s="658"/>
      <c r="O134" s="658"/>
      <c r="P134" s="658"/>
      <c r="Q134" s="658"/>
      <c r="R134" s="658"/>
      <c r="S134" s="658"/>
      <c r="T134" s="658"/>
      <c r="U134" s="658"/>
      <c r="V134" s="658"/>
    </row>
    <row r="135" spans="1:22" ht="15">
      <c r="A135" s="658"/>
      <c r="B135" s="658"/>
      <c r="C135" s="658"/>
      <c r="D135" s="658"/>
      <c r="E135" s="658"/>
      <c r="F135" s="658"/>
      <c r="G135" s="658"/>
      <c r="H135" s="658"/>
      <c r="I135" s="658"/>
      <c r="J135" s="658"/>
      <c r="K135" s="658"/>
      <c r="L135" s="658"/>
      <c r="M135" s="658"/>
      <c r="N135" s="658"/>
      <c r="O135" s="658"/>
      <c r="P135" s="658"/>
      <c r="Q135" s="658"/>
      <c r="R135" s="658"/>
      <c r="S135" s="658"/>
      <c r="T135" s="658"/>
      <c r="U135" s="658"/>
      <c r="V135" s="658"/>
    </row>
    <row r="136" spans="1:22" ht="15">
      <c r="A136" s="658"/>
      <c r="B136" s="658"/>
      <c r="C136" s="658"/>
      <c r="D136" s="658"/>
      <c r="E136" s="658"/>
      <c r="F136" s="658"/>
      <c r="G136" s="658"/>
      <c r="H136" s="658"/>
      <c r="I136" s="658"/>
      <c r="J136" s="658"/>
      <c r="K136" s="658"/>
      <c r="L136" s="658"/>
      <c r="M136" s="658"/>
      <c r="N136" s="658"/>
      <c r="O136" s="658"/>
      <c r="P136" s="658"/>
      <c r="Q136" s="658"/>
      <c r="R136" s="658"/>
      <c r="S136" s="658"/>
      <c r="T136" s="658"/>
      <c r="U136" s="658"/>
      <c r="V136" s="658"/>
    </row>
    <row r="137" spans="1:22" ht="15">
      <c r="A137" s="658"/>
      <c r="B137" s="658"/>
      <c r="C137" s="658"/>
      <c r="D137" s="658"/>
      <c r="E137" s="658"/>
      <c r="F137" s="658"/>
      <c r="G137" s="658"/>
      <c r="H137" s="658"/>
      <c r="I137" s="658"/>
      <c r="J137" s="658"/>
      <c r="K137" s="658"/>
      <c r="L137" s="658"/>
      <c r="M137" s="658"/>
      <c r="N137" s="658"/>
      <c r="O137" s="658"/>
      <c r="P137" s="658"/>
      <c r="Q137" s="658"/>
      <c r="R137" s="658"/>
      <c r="S137" s="658"/>
      <c r="T137" s="658"/>
      <c r="U137" s="658"/>
      <c r="V137" s="658"/>
    </row>
    <row r="138" spans="1:22" ht="15">
      <c r="A138" s="658"/>
      <c r="B138" s="658"/>
      <c r="C138" s="658"/>
      <c r="D138" s="658"/>
      <c r="E138" s="658"/>
      <c r="F138" s="658"/>
      <c r="G138" s="658"/>
      <c r="H138" s="658"/>
      <c r="I138" s="658"/>
      <c r="J138" s="658"/>
      <c r="K138" s="658"/>
      <c r="L138" s="658"/>
      <c r="M138" s="658"/>
      <c r="N138" s="658"/>
      <c r="O138" s="658"/>
      <c r="P138" s="658"/>
      <c r="Q138" s="658"/>
      <c r="R138" s="658"/>
      <c r="S138" s="658"/>
      <c r="T138" s="658"/>
      <c r="U138" s="658"/>
      <c r="V138" s="658"/>
    </row>
    <row r="139" spans="1:22" ht="15">
      <c r="A139" s="658"/>
      <c r="B139" s="658"/>
      <c r="C139" s="658"/>
      <c r="D139" s="658"/>
      <c r="E139" s="658"/>
      <c r="F139" s="658"/>
      <c r="G139" s="658"/>
      <c r="H139" s="658"/>
      <c r="I139" s="658"/>
      <c r="J139" s="658"/>
      <c r="K139" s="658"/>
      <c r="L139" s="658"/>
      <c r="M139" s="658"/>
      <c r="N139" s="658"/>
      <c r="O139" s="658"/>
      <c r="P139" s="658"/>
      <c r="Q139" s="658"/>
      <c r="R139" s="658"/>
      <c r="S139" s="658"/>
      <c r="T139" s="658"/>
      <c r="U139" s="658"/>
      <c r="V139" s="658"/>
    </row>
    <row r="140" spans="1:22" ht="15">
      <c r="A140" s="658"/>
      <c r="B140" s="658"/>
      <c r="C140" s="658"/>
      <c r="D140" s="658"/>
      <c r="E140" s="658"/>
      <c r="F140" s="658"/>
      <c r="G140" s="658"/>
      <c r="H140" s="658"/>
      <c r="I140" s="658"/>
      <c r="J140" s="658"/>
      <c r="K140" s="658"/>
      <c r="L140" s="658"/>
      <c r="M140" s="658"/>
      <c r="N140" s="658"/>
      <c r="O140" s="658"/>
      <c r="P140" s="658"/>
      <c r="Q140" s="658"/>
      <c r="R140" s="658"/>
      <c r="S140" s="658"/>
      <c r="T140" s="658"/>
      <c r="U140" s="658"/>
      <c r="V140" s="658"/>
    </row>
    <row r="141" spans="1:22" ht="15">
      <c r="A141" s="658"/>
      <c r="B141" s="658"/>
      <c r="C141" s="658"/>
      <c r="D141" s="658"/>
      <c r="E141" s="658"/>
      <c r="F141" s="658"/>
      <c r="G141" s="658"/>
      <c r="H141" s="658"/>
      <c r="I141" s="658"/>
      <c r="J141" s="658"/>
      <c r="K141" s="658"/>
      <c r="L141" s="658"/>
      <c r="M141" s="658"/>
      <c r="N141" s="658"/>
      <c r="O141" s="658"/>
      <c r="P141" s="658"/>
      <c r="Q141" s="658"/>
      <c r="R141" s="658"/>
      <c r="S141" s="658"/>
      <c r="T141" s="658"/>
      <c r="U141" s="658"/>
      <c r="V141" s="658"/>
    </row>
    <row r="142" spans="1:22" ht="15">
      <c r="A142" s="658"/>
      <c r="B142" s="658"/>
      <c r="C142" s="658"/>
      <c r="D142" s="658"/>
      <c r="E142" s="658"/>
      <c r="F142" s="658"/>
      <c r="G142" s="658"/>
      <c r="H142" s="658"/>
      <c r="I142" s="658"/>
      <c r="J142" s="658"/>
      <c r="K142" s="658"/>
      <c r="L142" s="658"/>
      <c r="M142" s="658"/>
      <c r="N142" s="658"/>
      <c r="O142" s="658"/>
      <c r="P142" s="658"/>
      <c r="Q142" s="658"/>
      <c r="R142" s="658"/>
      <c r="S142" s="658"/>
      <c r="T142" s="658"/>
      <c r="U142" s="658"/>
      <c r="V142" s="658"/>
    </row>
    <row r="143" spans="1:22" ht="15">
      <c r="A143" s="658"/>
      <c r="B143" s="658"/>
      <c r="C143" s="658"/>
      <c r="D143" s="658"/>
      <c r="E143" s="658"/>
      <c r="F143" s="658"/>
      <c r="G143" s="658"/>
      <c r="H143" s="658"/>
      <c r="I143" s="658"/>
      <c r="J143" s="658"/>
      <c r="K143" s="658"/>
      <c r="L143" s="658"/>
      <c r="M143" s="658"/>
      <c r="N143" s="658"/>
      <c r="O143" s="658"/>
      <c r="P143" s="658"/>
      <c r="Q143" s="658"/>
      <c r="R143" s="658"/>
      <c r="S143" s="658"/>
      <c r="T143" s="658"/>
      <c r="U143" s="658"/>
      <c r="V143" s="658"/>
    </row>
    <row r="144" spans="1:22" ht="15">
      <c r="A144" s="658"/>
      <c r="B144" s="658"/>
      <c r="C144" s="658"/>
      <c r="D144" s="658"/>
      <c r="E144" s="658"/>
      <c r="F144" s="658"/>
      <c r="G144" s="658"/>
      <c r="H144" s="658"/>
      <c r="I144" s="658"/>
      <c r="J144" s="658"/>
      <c r="K144" s="658"/>
      <c r="L144" s="658"/>
      <c r="M144" s="658"/>
      <c r="N144" s="658"/>
      <c r="O144" s="658"/>
      <c r="P144" s="658"/>
      <c r="Q144" s="658"/>
      <c r="R144" s="658"/>
      <c r="S144" s="658"/>
      <c r="T144" s="658"/>
      <c r="U144" s="658"/>
      <c r="V144" s="658"/>
    </row>
    <row r="145" spans="1:22" ht="15">
      <c r="A145" s="658"/>
      <c r="B145" s="658"/>
      <c r="C145" s="658"/>
      <c r="D145" s="658"/>
      <c r="E145" s="658"/>
      <c r="F145" s="658"/>
      <c r="G145" s="658"/>
      <c r="H145" s="658"/>
      <c r="I145" s="658"/>
      <c r="J145" s="658"/>
      <c r="K145" s="658"/>
      <c r="L145" s="658"/>
      <c r="M145" s="658"/>
      <c r="N145" s="658"/>
      <c r="O145" s="658"/>
      <c r="P145" s="658"/>
      <c r="Q145" s="658"/>
      <c r="R145" s="658"/>
      <c r="S145" s="658"/>
      <c r="T145" s="658"/>
      <c r="U145" s="658"/>
      <c r="V145" s="658"/>
    </row>
  </sheetData>
  <sheetProtection password="CA99" sheet="1" objects="1" scenarios="1"/>
  <mergeCells count="8">
    <mergeCell ref="B23:G24"/>
    <mergeCell ref="B30:J32"/>
    <mergeCell ref="A6:K6"/>
    <mergeCell ref="B9:H9"/>
    <mergeCell ref="A1:K1"/>
    <mergeCell ref="A2:K2"/>
    <mergeCell ref="A3:K3"/>
    <mergeCell ref="A4:K4"/>
  </mergeCells>
  <printOptions/>
  <pageMargins left="0.26" right="1.28" top="1" bottom="1" header="0.75" footer="0.5"/>
  <pageSetup fitToHeight="1" fitToWidth="1" horizontalDpi="600" verticalDpi="600" orientation="landscape" scale="83" r:id="rId1"/>
  <headerFooter alignWithMargins="0">
    <oddHeader>&amp;R&amp;"Arial,Bold"Formula Rate 
&amp;A
Page &amp;P of &amp;N</oddHeader>
  </headerFooter>
  <rowBreaks count="1" manualBreakCount="1">
    <brk id="96" max="17" man="1"/>
  </rowBreaks>
</worksheet>
</file>

<file path=xl/worksheets/sheet8.xml><?xml version="1.0" encoding="utf-8"?>
<worksheet xmlns="http://schemas.openxmlformats.org/spreadsheetml/2006/main" xmlns:r="http://schemas.openxmlformats.org/officeDocument/2006/relationships">
  <sheetPr>
    <tabColor rgb="FFCCFFFF"/>
    <pageSetUpPr fitToPage="1"/>
  </sheetPr>
  <dimension ref="A1:S73"/>
  <sheetViews>
    <sheetView zoomScale="75" zoomScaleNormal="75" zoomScalePageLayoutView="0" workbookViewId="0" topLeftCell="A37">
      <selection activeCell="E69" sqref="E69"/>
    </sheetView>
  </sheetViews>
  <sheetFormatPr defaultColWidth="9.140625" defaultRowHeight="12.75"/>
  <cols>
    <col min="1" max="1" width="10.421875" style="90" customWidth="1"/>
    <col min="2" max="2" width="16.57421875" style="57" customWidth="1"/>
    <col min="3" max="3" width="64.7109375" style="39" customWidth="1"/>
    <col min="4" max="4" width="15.7109375" style="39" customWidth="1"/>
    <col min="5" max="5" width="20.7109375" style="39" customWidth="1"/>
    <col min="6" max="6" width="17.28125" style="39" customWidth="1"/>
    <col min="7" max="7" width="41.8515625" style="39" customWidth="1"/>
    <col min="8" max="8" width="13.8515625" style="39" customWidth="1"/>
    <col min="9" max="9" width="9.140625" style="39" customWidth="1"/>
    <col min="10" max="10" width="12.421875" style="39" bestFit="1" customWidth="1"/>
    <col min="11" max="11" width="13.28125" style="39" customWidth="1"/>
    <col min="12" max="16384" width="9.140625" style="39" customWidth="1"/>
  </cols>
  <sheetData>
    <row r="1" spans="1:8" ht="15">
      <c r="A1" s="1250" t="str">
        <f>TCOS!$F$3</f>
        <v>AEPTCo subsidiaries in PJM</v>
      </c>
      <c r="B1" s="1250" t="str">
        <f>TCOS!$F$3</f>
        <v>AEPTCo subsidiaries in PJM</v>
      </c>
      <c r="C1" s="1250" t="str">
        <f>TCOS!$F$3</f>
        <v>AEPTCo subsidiaries in PJM</v>
      </c>
      <c r="D1" s="1250" t="str">
        <f>TCOS!$F$3</f>
        <v>AEPTCo subsidiaries in PJM</v>
      </c>
      <c r="E1" s="1250" t="str">
        <f>TCOS!$F$3</f>
        <v>AEPTCo subsidiaries in PJM</v>
      </c>
      <c r="F1" s="1250" t="str">
        <f>TCOS!$F$3</f>
        <v>AEPTCo subsidiaries in PJM</v>
      </c>
      <c r="G1" s="1250" t="str">
        <f>TCOS!$F$3</f>
        <v>AEPTCo subsidiaries in PJM</v>
      </c>
      <c r="H1" s="70"/>
    </row>
    <row r="2" spans="1:11" ht="12.75" customHeight="1">
      <c r="A2" s="1251" t="str">
        <f>"Cost of Service Formula Rate Using Actual/Projected FF1 Balances"</f>
        <v>Cost of Service Formula Rate Using Actual/Projected FF1 Balances</v>
      </c>
      <c r="B2" s="1251"/>
      <c r="C2" s="1251"/>
      <c r="D2" s="1251"/>
      <c r="E2" s="1251"/>
      <c r="F2" s="1251"/>
      <c r="G2" s="1251"/>
      <c r="H2" s="127"/>
      <c r="I2" s="127"/>
      <c r="J2" s="127"/>
      <c r="K2" s="127"/>
    </row>
    <row r="3" spans="1:7" ht="12.75" customHeight="1">
      <c r="A3" s="1251" t="s">
        <v>419</v>
      </c>
      <c r="B3" s="1251"/>
      <c r="C3" s="1251"/>
      <c r="D3" s="1251"/>
      <c r="E3" s="1251"/>
      <c r="F3" s="1251"/>
      <c r="G3" s="1251"/>
    </row>
    <row r="4" spans="1:7" ht="12.75" customHeight="1">
      <c r="A4" s="1254" t="str">
        <f>+'WS A  - RB Support '!A4:F4</f>
        <v>AEP APPALACHIAN TRANSMISSION COMPANY</v>
      </c>
      <c r="B4" s="1254"/>
      <c r="C4" s="1254"/>
      <c r="D4" s="1254"/>
      <c r="E4" s="1254"/>
      <c r="F4" s="1254"/>
      <c r="G4" s="1254"/>
    </row>
    <row r="5" spans="1:7" ht="12.75" customHeight="1">
      <c r="A5" s="1250"/>
      <c r="B5" s="1250"/>
      <c r="C5" s="1250"/>
      <c r="D5" s="1250"/>
      <c r="E5" s="1250"/>
      <c r="F5" s="1250"/>
      <c r="G5" s="77"/>
    </row>
    <row r="6" spans="1:7" ht="18">
      <c r="A6" s="1271"/>
      <c r="B6" s="1271"/>
      <c r="C6" s="1271"/>
      <c r="D6" s="1271"/>
      <c r="E6" s="1271"/>
      <c r="F6" s="1271"/>
      <c r="G6" s="1271"/>
    </row>
    <row r="7" spans="1:7" ht="18">
      <c r="A7" s="178"/>
      <c r="B7" s="178"/>
      <c r="C7" s="178"/>
      <c r="D7" s="178"/>
      <c r="E7" s="178"/>
      <c r="F7" s="178"/>
      <c r="G7" s="178"/>
    </row>
    <row r="8" spans="2:7" ht="15.75">
      <c r="B8" s="67" t="s">
        <v>683</v>
      </c>
      <c r="C8" s="67" t="s">
        <v>684</v>
      </c>
      <c r="D8" s="67" t="s">
        <v>685</v>
      </c>
      <c r="E8" s="67" t="s">
        <v>686</v>
      </c>
      <c r="F8" s="67" t="s">
        <v>606</v>
      </c>
      <c r="G8" s="67" t="s">
        <v>607</v>
      </c>
    </row>
    <row r="9" spans="2:7" ht="15.75">
      <c r="B9" s="82"/>
      <c r="C9" s="77"/>
      <c r="D9" s="209"/>
      <c r="E9" s="210"/>
      <c r="F9" s="211" t="s">
        <v>609</v>
      </c>
      <c r="G9" s="67"/>
    </row>
    <row r="10" spans="1:7" ht="15.75">
      <c r="A10" s="85" t="s">
        <v>690</v>
      </c>
      <c r="B10" s="82"/>
      <c r="C10" s="91"/>
      <c r="D10" s="85">
        <f>+TCOS!L2</f>
        <v>2017</v>
      </c>
      <c r="E10" s="211" t="s">
        <v>609</v>
      </c>
      <c r="F10" s="85" t="s">
        <v>638</v>
      </c>
      <c r="G10" s="67"/>
    </row>
    <row r="11" spans="1:7" ht="15.75">
      <c r="A11" s="85" t="s">
        <v>628</v>
      </c>
      <c r="B11" s="85" t="s">
        <v>589</v>
      </c>
      <c r="C11" s="85" t="s">
        <v>688</v>
      </c>
      <c r="D11" s="85" t="s">
        <v>590</v>
      </c>
      <c r="E11" s="85" t="s">
        <v>611</v>
      </c>
      <c r="F11" s="85" t="s">
        <v>591</v>
      </c>
      <c r="G11" s="85" t="s">
        <v>592</v>
      </c>
    </row>
    <row r="12" spans="1:7" ht="15.75">
      <c r="A12" s="84"/>
      <c r="B12" s="85"/>
      <c r="C12" s="85"/>
      <c r="D12" s="85"/>
      <c r="E12" s="85"/>
      <c r="F12" s="85"/>
      <c r="G12" s="85"/>
    </row>
    <row r="13" spans="1:7" ht="15.75">
      <c r="A13" s="84"/>
      <c r="B13" s="85"/>
      <c r="C13" s="85"/>
      <c r="D13" s="85"/>
      <c r="E13" s="85"/>
      <c r="F13" s="85"/>
      <c r="G13" s="85"/>
    </row>
    <row r="14" spans="1:7" ht="15.75">
      <c r="A14" s="84"/>
      <c r="B14" s="85"/>
      <c r="D14" s="85"/>
      <c r="E14" s="85"/>
      <c r="F14" s="85"/>
      <c r="G14" s="85"/>
    </row>
    <row r="15" spans="1:7" ht="15.75">
      <c r="A15" s="84"/>
      <c r="B15" s="85"/>
      <c r="C15" s="85" t="s">
        <v>428</v>
      </c>
      <c r="D15" s="75"/>
      <c r="E15" s="75"/>
      <c r="F15" s="75"/>
      <c r="G15" s="121"/>
    </row>
    <row r="16" spans="1:7" ht="15">
      <c r="A16" s="84">
        <v>1</v>
      </c>
      <c r="B16" s="1179" t="s">
        <v>426</v>
      </c>
      <c r="C16" s="697" t="s">
        <v>427</v>
      </c>
      <c r="D16" s="695">
        <v>0</v>
      </c>
      <c r="E16" s="101"/>
      <c r="F16" s="101"/>
      <c r="G16" s="74"/>
    </row>
    <row r="17" spans="1:7" ht="15">
      <c r="A17" s="84">
        <f>+A16+1</f>
        <v>2</v>
      </c>
      <c r="B17" s="1180"/>
      <c r="C17" s="1181"/>
      <c r="D17" s="695"/>
      <c r="E17" s="101"/>
      <c r="F17" s="101"/>
      <c r="G17" s="74"/>
    </row>
    <row r="18" spans="1:7" ht="15.75">
      <c r="A18" s="84">
        <f>+A17+1</f>
        <v>3</v>
      </c>
      <c r="B18" s="1182"/>
      <c r="C18" s="697"/>
      <c r="D18" s="695"/>
      <c r="E18" s="101"/>
      <c r="F18" s="101"/>
      <c r="G18" s="74"/>
    </row>
    <row r="19" spans="1:7" ht="15.75">
      <c r="A19" s="84">
        <f>+A18+1</f>
        <v>4</v>
      </c>
      <c r="B19" s="85"/>
      <c r="C19" s="231" t="s">
        <v>641</v>
      </c>
      <c r="D19" s="92">
        <f>SUM(D16:D18)</f>
        <v>0</v>
      </c>
      <c r="E19" s="101"/>
      <c r="F19" s="101"/>
      <c r="G19" s="85"/>
    </row>
    <row r="20" spans="1:7" ht="15.75">
      <c r="A20" s="84"/>
      <c r="B20" s="85"/>
      <c r="C20" s="231"/>
      <c r="D20" s="242"/>
      <c r="E20" s="75"/>
      <c r="F20" s="75"/>
      <c r="G20" s="85"/>
    </row>
    <row r="21" spans="1:7" ht="15.75">
      <c r="A21" s="56"/>
      <c r="B21" s="85"/>
      <c r="C21" s="85" t="s">
        <v>261</v>
      </c>
      <c r="D21" s="263"/>
      <c r="E21" s="75"/>
      <c r="F21" s="75"/>
      <c r="G21" s="85"/>
    </row>
    <row r="22" spans="1:7" ht="15.75">
      <c r="A22" s="84">
        <f>+A19+1</f>
        <v>5</v>
      </c>
      <c r="B22" s="696" t="s">
        <v>247</v>
      </c>
      <c r="C22" s="696" t="s">
        <v>242</v>
      </c>
      <c r="D22" s="695">
        <v>86</v>
      </c>
      <c r="E22" s="75"/>
      <c r="F22" s="75"/>
      <c r="G22" s="85"/>
    </row>
    <row r="23" spans="1:7" ht="15.75">
      <c r="A23" s="295">
        <f>+A22+1</f>
        <v>6</v>
      </c>
      <c r="B23" s="696" t="s">
        <v>246</v>
      </c>
      <c r="C23" s="696" t="s">
        <v>243</v>
      </c>
      <c r="D23" s="695">
        <v>0</v>
      </c>
      <c r="E23" s="75"/>
      <c r="F23" s="75"/>
      <c r="G23" s="85"/>
    </row>
    <row r="24" spans="1:7" ht="15.75">
      <c r="A24" s="84">
        <f>+A23+1</f>
        <v>7</v>
      </c>
      <c r="B24" s="696" t="s">
        <v>248</v>
      </c>
      <c r="C24" s="696" t="s">
        <v>244</v>
      </c>
      <c r="D24" s="695">
        <v>0</v>
      </c>
      <c r="E24" s="75"/>
      <c r="F24" s="75"/>
      <c r="G24" s="85"/>
    </row>
    <row r="25" spans="1:7" ht="15.75">
      <c r="A25" s="295">
        <f aca="true" t="shared" si="0" ref="A25:A30">+A24+1</f>
        <v>8</v>
      </c>
      <c r="B25" s="696" t="s">
        <v>249</v>
      </c>
      <c r="C25" s="696" t="s">
        <v>245</v>
      </c>
      <c r="D25" s="695">
        <v>0</v>
      </c>
      <c r="E25" s="75"/>
      <c r="F25" s="75"/>
      <c r="G25" s="85"/>
    </row>
    <row r="26" spans="1:7" ht="15.75">
      <c r="A26" s="84">
        <f t="shared" si="0"/>
        <v>9</v>
      </c>
      <c r="B26" s="696" t="s">
        <v>250</v>
      </c>
      <c r="C26" s="696" t="s">
        <v>254</v>
      </c>
      <c r="D26" s="695">
        <v>0</v>
      </c>
      <c r="E26" s="75"/>
      <c r="F26" s="75"/>
      <c r="G26" s="85"/>
    </row>
    <row r="27" spans="1:7" ht="15.75">
      <c r="A27" s="295">
        <f t="shared" si="0"/>
        <v>10</v>
      </c>
      <c r="B27" s="696" t="s">
        <v>251</v>
      </c>
      <c r="C27" s="696" t="s">
        <v>257</v>
      </c>
      <c r="D27" s="695">
        <v>0</v>
      </c>
      <c r="E27" s="75"/>
      <c r="F27" s="75"/>
      <c r="G27" s="85"/>
    </row>
    <row r="28" spans="1:7" ht="15.75">
      <c r="A28" s="84">
        <f t="shared" si="0"/>
        <v>11</v>
      </c>
      <c r="B28" s="696" t="s">
        <v>252</v>
      </c>
      <c r="C28" s="696" t="s">
        <v>258</v>
      </c>
      <c r="D28" s="695">
        <v>0</v>
      </c>
      <c r="E28" s="75"/>
      <c r="F28" s="75"/>
      <c r="G28" s="85"/>
    </row>
    <row r="29" spans="1:7" ht="15.75">
      <c r="A29" s="295">
        <f t="shared" si="0"/>
        <v>12</v>
      </c>
      <c r="B29" s="696" t="s">
        <v>253</v>
      </c>
      <c r="C29" s="696" t="s">
        <v>259</v>
      </c>
      <c r="D29" s="695">
        <v>0</v>
      </c>
      <c r="E29" s="75"/>
      <c r="F29" s="75"/>
      <c r="G29" s="85"/>
    </row>
    <row r="30" spans="1:7" ht="15.75">
      <c r="A30" s="84">
        <f t="shared" si="0"/>
        <v>13</v>
      </c>
      <c r="B30" s="696" t="s">
        <v>255</v>
      </c>
      <c r="C30" s="696" t="s">
        <v>260</v>
      </c>
      <c r="D30" s="695">
        <v>0</v>
      </c>
      <c r="E30" s="75"/>
      <c r="F30" s="75"/>
      <c r="G30" s="85"/>
    </row>
    <row r="31" spans="1:7" ht="15.75">
      <c r="A31" s="295">
        <f>+A30+1</f>
        <v>14</v>
      </c>
      <c r="B31" s="296"/>
      <c r="C31" s="67" t="s">
        <v>256</v>
      </c>
      <c r="D31" s="92">
        <f>SUM(D22:D30)</f>
        <v>86</v>
      </c>
      <c r="E31" s="85"/>
      <c r="F31" s="85"/>
      <c r="G31" s="85"/>
    </row>
    <row r="32" spans="1:7" ht="15.75">
      <c r="A32" s="227"/>
      <c r="B32" s="100"/>
      <c r="C32" s="85"/>
      <c r="D32" s="85"/>
      <c r="E32" s="85"/>
      <c r="F32" s="85"/>
      <c r="G32" s="85"/>
    </row>
    <row r="33" spans="1:7" ht="15.75">
      <c r="A33" s="227"/>
      <c r="B33" s="84"/>
      <c r="C33" s="132" t="s">
        <v>759</v>
      </c>
      <c r="D33" s="77"/>
      <c r="E33" s="77"/>
      <c r="F33" s="77"/>
      <c r="G33" s="77"/>
    </row>
    <row r="34" spans="1:7" ht="15">
      <c r="A34" s="84">
        <f>+A31+1</f>
        <v>15</v>
      </c>
      <c r="B34" s="1179" t="s">
        <v>717</v>
      </c>
      <c r="C34" s="697" t="s">
        <v>809</v>
      </c>
      <c r="D34" s="695">
        <v>0</v>
      </c>
      <c r="E34" s="75">
        <f aca="true" t="shared" si="1" ref="E34:E39">+D34</f>
        <v>0</v>
      </c>
      <c r="F34" s="75">
        <v>0</v>
      </c>
      <c r="G34" s="74"/>
    </row>
    <row r="35" spans="1:7" ht="15">
      <c r="A35" s="84">
        <f>+A34+1</f>
        <v>16</v>
      </c>
      <c r="B35" s="1179" t="s">
        <v>735</v>
      </c>
      <c r="C35" s="697" t="s">
        <v>810</v>
      </c>
      <c r="D35" s="695">
        <v>0</v>
      </c>
      <c r="E35" s="75">
        <f t="shared" si="1"/>
        <v>0</v>
      </c>
      <c r="F35" s="75">
        <v>0</v>
      </c>
      <c r="G35" s="74"/>
    </row>
    <row r="36" spans="1:7" ht="15">
      <c r="A36" s="84">
        <f>+A35+1</f>
        <v>17</v>
      </c>
      <c r="B36" s="1179" t="s">
        <v>718</v>
      </c>
      <c r="C36" s="697" t="s">
        <v>811</v>
      </c>
      <c r="D36" s="695">
        <v>0</v>
      </c>
      <c r="E36" s="75">
        <f t="shared" si="1"/>
        <v>0</v>
      </c>
      <c r="F36" s="75">
        <v>0</v>
      </c>
      <c r="G36" s="74"/>
    </row>
    <row r="37" spans="1:7" ht="15">
      <c r="A37" s="84">
        <f>+A36+1</f>
        <v>18</v>
      </c>
      <c r="B37" s="1179" t="s">
        <v>949</v>
      </c>
      <c r="C37" s="697" t="s">
        <v>811</v>
      </c>
      <c r="D37" s="695">
        <v>0</v>
      </c>
      <c r="E37" s="75">
        <f t="shared" si="1"/>
        <v>0</v>
      </c>
      <c r="F37" s="75">
        <v>0</v>
      </c>
      <c r="G37" s="121"/>
    </row>
    <row r="38" spans="1:7" ht="15">
      <c r="A38" s="84">
        <f>+A37+1</f>
        <v>19</v>
      </c>
      <c r="B38" s="1179" t="s">
        <v>950</v>
      </c>
      <c r="C38" s="697" t="s">
        <v>811</v>
      </c>
      <c r="D38" s="695">
        <v>0</v>
      </c>
      <c r="E38" s="75">
        <f t="shared" si="1"/>
        <v>0</v>
      </c>
      <c r="F38" s="75">
        <v>0</v>
      </c>
      <c r="G38" s="121"/>
    </row>
    <row r="39" spans="1:7" ht="15">
      <c r="A39" s="84">
        <f>+A38+1</f>
        <v>20</v>
      </c>
      <c r="B39" s="1179" t="s">
        <v>951</v>
      </c>
      <c r="C39" s="697" t="s">
        <v>811</v>
      </c>
      <c r="D39" s="695">
        <v>0</v>
      </c>
      <c r="E39" s="75">
        <f t="shared" si="1"/>
        <v>0</v>
      </c>
      <c r="F39" s="75">
        <v>0</v>
      </c>
      <c r="G39" s="121"/>
    </row>
    <row r="40" spans="1:7" ht="15">
      <c r="A40" s="84"/>
      <c r="B40" s="131"/>
      <c r="C40" s="96"/>
      <c r="D40" s="75"/>
      <c r="E40" s="75"/>
      <c r="F40" s="75"/>
      <c r="G40" s="74"/>
    </row>
    <row r="41" spans="1:7" ht="12.75" customHeight="1">
      <c r="A41" s="84"/>
      <c r="B41" s="76" t="s">
        <v>637</v>
      </c>
      <c r="C41" s="96"/>
      <c r="D41" s="78"/>
      <c r="E41" s="79"/>
      <c r="F41" s="80"/>
      <c r="G41" s="77"/>
    </row>
    <row r="42" spans="1:7" ht="15.75" customHeight="1">
      <c r="A42" s="84">
        <f>+A39+1</f>
        <v>21</v>
      </c>
      <c r="B42" s="82"/>
      <c r="C42" s="231" t="s">
        <v>641</v>
      </c>
      <c r="D42" s="92">
        <f>SUM(D34:D40)</f>
        <v>0</v>
      </c>
      <c r="E42" s="92">
        <f>SUM(E34:E40)</f>
        <v>0</v>
      </c>
      <c r="F42" s="92">
        <f>SUM(F34:F40)</f>
        <v>0</v>
      </c>
      <c r="G42" s="59"/>
    </row>
    <row r="43" spans="1:7" ht="12.75" customHeight="1">
      <c r="A43" s="84"/>
      <c r="B43" s="82"/>
      <c r="C43" s="83"/>
      <c r="D43" s="99"/>
      <c r="E43" s="63"/>
      <c r="F43" s="63"/>
      <c r="G43" s="77"/>
    </row>
    <row r="44" spans="1:7" ht="15.75">
      <c r="A44" s="84"/>
      <c r="B44" s="84"/>
      <c r="C44" s="132" t="s">
        <v>758</v>
      </c>
      <c r="D44" s="63"/>
      <c r="E44" s="63"/>
      <c r="F44" s="63"/>
      <c r="G44" s="77"/>
    </row>
    <row r="45" spans="1:19" ht="15">
      <c r="A45" s="84">
        <f>+A42+1</f>
        <v>22</v>
      </c>
      <c r="B45" s="1179" t="s">
        <v>812</v>
      </c>
      <c r="C45" s="697" t="s">
        <v>813</v>
      </c>
      <c r="D45" s="698">
        <v>0</v>
      </c>
      <c r="E45" s="75">
        <f>+D45</f>
        <v>0</v>
      </c>
      <c r="F45" s="75">
        <v>0</v>
      </c>
      <c r="G45"/>
      <c r="M45" s="58"/>
      <c r="N45" s="97"/>
      <c r="O45" s="98"/>
      <c r="P45" s="98"/>
      <c r="Q45" s="98"/>
      <c r="R45" s="98"/>
      <c r="S45" s="60"/>
    </row>
    <row r="46" spans="1:19" ht="15">
      <c r="A46" s="84">
        <f>+A45+1</f>
        <v>23</v>
      </c>
      <c r="B46" s="1179" t="s">
        <v>703</v>
      </c>
      <c r="C46" s="697" t="s">
        <v>704</v>
      </c>
      <c r="D46" s="698">
        <v>0</v>
      </c>
      <c r="E46" s="75">
        <f aca="true" t="shared" si="2" ref="E46:E60">+D46</f>
        <v>0</v>
      </c>
      <c r="F46" s="75">
        <v>0</v>
      </c>
      <c r="G46"/>
      <c r="M46" s="58"/>
      <c r="N46" s="97"/>
      <c r="O46" s="98"/>
      <c r="P46" s="98"/>
      <c r="Q46" s="98"/>
      <c r="R46" s="98"/>
      <c r="S46" s="60"/>
    </row>
    <row r="47" spans="1:19" ht="15">
      <c r="A47" s="84">
        <f aca="true" t="shared" si="3" ref="A47:A60">+A46+1</f>
        <v>24</v>
      </c>
      <c r="B47" s="1179" t="s">
        <v>814</v>
      </c>
      <c r="C47" s="697" t="s">
        <v>815</v>
      </c>
      <c r="D47" s="698">
        <v>0</v>
      </c>
      <c r="E47" s="75">
        <f t="shared" si="2"/>
        <v>0</v>
      </c>
      <c r="F47" s="75">
        <v>0</v>
      </c>
      <c r="G47"/>
      <c r="M47" s="58"/>
      <c r="N47" s="97"/>
      <c r="O47" s="98"/>
      <c r="P47" s="98"/>
      <c r="Q47" s="98"/>
      <c r="R47" s="98"/>
      <c r="S47" s="60"/>
    </row>
    <row r="48" spans="1:19" ht="15">
      <c r="A48" s="84">
        <f t="shared" si="3"/>
        <v>25</v>
      </c>
      <c r="B48" s="1179" t="s">
        <v>816</v>
      </c>
      <c r="C48" s="697" t="s">
        <v>817</v>
      </c>
      <c r="D48" s="698">
        <v>0</v>
      </c>
      <c r="E48" s="75">
        <f t="shared" si="2"/>
        <v>0</v>
      </c>
      <c r="F48" s="75">
        <v>0</v>
      </c>
      <c r="G48"/>
      <c r="M48" s="58"/>
      <c r="N48" s="97"/>
      <c r="O48" s="98"/>
      <c r="P48" s="98"/>
      <c r="Q48" s="98"/>
      <c r="R48" s="98"/>
      <c r="S48" s="60"/>
    </row>
    <row r="49" spans="1:19" ht="15">
      <c r="A49" s="84">
        <f t="shared" si="3"/>
        <v>26</v>
      </c>
      <c r="B49" s="1183" t="s">
        <v>595</v>
      </c>
      <c r="C49" s="697" t="s">
        <v>596</v>
      </c>
      <c r="D49" s="698">
        <v>0</v>
      </c>
      <c r="E49" s="75">
        <f t="shared" si="2"/>
        <v>0</v>
      </c>
      <c r="F49" s="75"/>
      <c r="G49"/>
      <c r="M49" s="58"/>
      <c r="N49" s="97"/>
      <c r="O49" s="98"/>
      <c r="P49" s="98"/>
      <c r="Q49" s="98"/>
      <c r="R49" s="98"/>
      <c r="S49" s="60"/>
    </row>
    <row r="50" spans="1:19" ht="15">
      <c r="A50" s="84">
        <f t="shared" si="3"/>
        <v>27</v>
      </c>
      <c r="B50" s="1179" t="s">
        <v>818</v>
      </c>
      <c r="C50" s="697" t="s">
        <v>819</v>
      </c>
      <c r="D50" s="698">
        <v>0</v>
      </c>
      <c r="E50" s="75">
        <f t="shared" si="2"/>
        <v>0</v>
      </c>
      <c r="F50" s="75">
        <v>0</v>
      </c>
      <c r="G50"/>
      <c r="M50" s="58"/>
      <c r="N50" s="97"/>
      <c r="O50" s="98"/>
      <c r="P50" s="98"/>
      <c r="Q50" s="98"/>
      <c r="R50" s="98"/>
      <c r="S50" s="60"/>
    </row>
    <row r="51" spans="1:19" ht="15">
      <c r="A51" s="84">
        <f t="shared" si="3"/>
        <v>28</v>
      </c>
      <c r="B51" s="1179" t="s">
        <v>705</v>
      </c>
      <c r="C51" s="697" t="s">
        <v>706</v>
      </c>
      <c r="D51" s="698">
        <v>0</v>
      </c>
      <c r="E51" s="75">
        <f t="shared" si="2"/>
        <v>0</v>
      </c>
      <c r="F51" s="75">
        <v>0</v>
      </c>
      <c r="G51"/>
      <c r="M51" s="58"/>
      <c r="N51" s="97"/>
      <c r="O51" s="98"/>
      <c r="P51" s="98"/>
      <c r="Q51" s="98"/>
      <c r="R51" s="98"/>
      <c r="S51" s="60"/>
    </row>
    <row r="52" spans="1:19" ht="15">
      <c r="A52" s="84">
        <f t="shared" si="3"/>
        <v>29</v>
      </c>
      <c r="B52" s="1179" t="s">
        <v>820</v>
      </c>
      <c r="C52" s="697" t="s">
        <v>821</v>
      </c>
      <c r="D52" s="698">
        <v>0</v>
      </c>
      <c r="E52" s="75">
        <f t="shared" si="2"/>
        <v>0</v>
      </c>
      <c r="F52" s="75">
        <v>0</v>
      </c>
      <c r="G52"/>
      <c r="M52" s="58"/>
      <c r="N52" s="97"/>
      <c r="O52" s="98"/>
      <c r="P52" s="98"/>
      <c r="Q52" s="98"/>
      <c r="R52" s="98"/>
      <c r="S52" s="60"/>
    </row>
    <row r="53" spans="1:19" ht="15">
      <c r="A53" s="84">
        <f t="shared" si="3"/>
        <v>30</v>
      </c>
      <c r="B53" s="1179" t="s">
        <v>707</v>
      </c>
      <c r="C53" s="697" t="s">
        <v>708</v>
      </c>
      <c r="D53" s="698">
        <v>0</v>
      </c>
      <c r="E53" s="75">
        <f t="shared" si="2"/>
        <v>0</v>
      </c>
      <c r="F53" s="75">
        <v>0</v>
      </c>
      <c r="G53"/>
      <c r="M53" s="58"/>
      <c r="N53" s="97"/>
      <c r="O53" s="98"/>
      <c r="P53" s="98"/>
      <c r="Q53" s="98"/>
      <c r="R53" s="98"/>
      <c r="S53" s="60"/>
    </row>
    <row r="54" spans="1:19" ht="15">
      <c r="A54" s="84">
        <f t="shared" si="3"/>
        <v>31</v>
      </c>
      <c r="B54" s="1179" t="s">
        <v>709</v>
      </c>
      <c r="C54" s="697" t="s">
        <v>710</v>
      </c>
      <c r="D54" s="698">
        <v>0</v>
      </c>
      <c r="E54" s="75">
        <f t="shared" si="2"/>
        <v>0</v>
      </c>
      <c r="F54" s="75">
        <v>0</v>
      </c>
      <c r="G54"/>
      <c r="M54" s="58"/>
      <c r="N54" s="97"/>
      <c r="O54" s="98"/>
      <c r="P54" s="98"/>
      <c r="Q54" s="98"/>
      <c r="R54" s="98"/>
      <c r="S54" s="60"/>
    </row>
    <row r="55" spans="1:19" ht="15">
      <c r="A55" s="84">
        <f t="shared" si="3"/>
        <v>32</v>
      </c>
      <c r="B55" s="1179" t="s">
        <v>711</v>
      </c>
      <c r="C55" s="697" t="s">
        <v>712</v>
      </c>
      <c r="D55" s="698">
        <v>0</v>
      </c>
      <c r="E55" s="75">
        <f t="shared" si="2"/>
        <v>0</v>
      </c>
      <c r="F55" s="81">
        <v>0</v>
      </c>
      <c r="G55"/>
      <c r="M55" s="58"/>
      <c r="N55" s="97"/>
      <c r="O55" s="98"/>
      <c r="P55" s="98"/>
      <c r="Q55" s="98"/>
      <c r="R55" s="98"/>
      <c r="S55" s="60"/>
    </row>
    <row r="56" spans="1:7" ht="15">
      <c r="A56" s="84">
        <f t="shared" si="3"/>
        <v>33</v>
      </c>
      <c r="B56" s="1179" t="s">
        <v>719</v>
      </c>
      <c r="C56" s="697" t="s">
        <v>720</v>
      </c>
      <c r="D56" s="698">
        <v>0</v>
      </c>
      <c r="E56" s="75">
        <f t="shared" si="2"/>
        <v>0</v>
      </c>
      <c r="F56" s="81">
        <v>0</v>
      </c>
      <c r="G56"/>
    </row>
    <row r="57" spans="1:7" ht="15">
      <c r="A57" s="84">
        <f t="shared" si="3"/>
        <v>34</v>
      </c>
      <c r="B57" s="1179" t="s">
        <v>736</v>
      </c>
      <c r="C57" s="697" t="s">
        <v>737</v>
      </c>
      <c r="D57" s="698">
        <v>0</v>
      </c>
      <c r="E57" s="75">
        <f t="shared" si="2"/>
        <v>0</v>
      </c>
      <c r="F57" s="81">
        <v>0</v>
      </c>
      <c r="G57" s="77"/>
    </row>
    <row r="58" spans="1:7" ht="15">
      <c r="A58" s="84">
        <f t="shared" si="3"/>
        <v>35</v>
      </c>
      <c r="B58" s="1179" t="s">
        <v>721</v>
      </c>
      <c r="C58" s="697" t="s">
        <v>722</v>
      </c>
      <c r="D58" s="698">
        <v>0</v>
      </c>
      <c r="E58" s="75">
        <f t="shared" si="2"/>
        <v>0</v>
      </c>
      <c r="F58" s="81">
        <v>0</v>
      </c>
      <c r="G58" s="77"/>
    </row>
    <row r="59" spans="1:7" ht="15">
      <c r="A59" s="84">
        <f t="shared" si="3"/>
        <v>36</v>
      </c>
      <c r="B59" s="1179" t="s">
        <v>713</v>
      </c>
      <c r="C59" s="697" t="s">
        <v>714</v>
      </c>
      <c r="D59" s="698">
        <v>0</v>
      </c>
      <c r="E59" s="75">
        <f t="shared" si="2"/>
        <v>0</v>
      </c>
      <c r="F59" s="81">
        <v>0</v>
      </c>
      <c r="G59" s="77"/>
    </row>
    <row r="60" spans="1:7" ht="15">
      <c r="A60" s="84">
        <f t="shared" si="3"/>
        <v>37</v>
      </c>
      <c r="B60" s="1179" t="s">
        <v>715</v>
      </c>
      <c r="C60" s="697" t="s">
        <v>716</v>
      </c>
      <c r="D60" s="698">
        <v>0</v>
      </c>
      <c r="E60" s="75">
        <f t="shared" si="2"/>
        <v>0</v>
      </c>
      <c r="F60" s="81">
        <v>0</v>
      </c>
      <c r="G60" s="77"/>
    </row>
    <row r="61" spans="1:7" ht="15">
      <c r="A61" s="84"/>
      <c r="B61" s="76"/>
      <c r="C61" s="77"/>
      <c r="D61" s="86"/>
      <c r="E61" s="87"/>
      <c r="F61" s="86"/>
      <c r="G61" s="77"/>
    </row>
    <row r="62" spans="1:7" ht="15.75">
      <c r="A62" s="84">
        <f>+A60+1</f>
        <v>38</v>
      </c>
      <c r="B62" s="82"/>
      <c r="C62" s="232" t="str">
        <f>C42</f>
        <v>Total</v>
      </c>
      <c r="D62" s="88">
        <f>SUM(D45:D61)</f>
        <v>0</v>
      </c>
      <c r="E62" s="88">
        <f>SUM(E45:E61)</f>
        <v>0</v>
      </c>
      <c r="F62" s="88">
        <f>SUM(F45:F56)</f>
        <v>0</v>
      </c>
      <c r="G62" s="59"/>
    </row>
    <row r="63" spans="1:7" ht="12.75" customHeight="1">
      <c r="A63" s="84"/>
      <c r="B63" s="69"/>
      <c r="C63" s="69"/>
      <c r="D63" s="69"/>
      <c r="E63" s="69"/>
      <c r="F63" s="69"/>
      <c r="G63" s="69"/>
    </row>
    <row r="64" spans="1:7" ht="15.75">
      <c r="A64" s="84"/>
      <c r="B64" s="67"/>
      <c r="C64" s="132" t="s">
        <v>757</v>
      </c>
      <c r="D64" s="89"/>
      <c r="E64" s="89"/>
      <c r="F64" s="89"/>
      <c r="G64" s="67"/>
    </row>
    <row r="65" spans="1:11" ht="15">
      <c r="A65" s="84">
        <f>+A62+1</f>
        <v>39</v>
      </c>
      <c r="B65" s="1179" t="s">
        <v>742</v>
      </c>
      <c r="C65" s="697" t="s">
        <v>743</v>
      </c>
      <c r="D65" s="698">
        <v>5</v>
      </c>
      <c r="E65" s="75">
        <f>+D65</f>
        <v>5</v>
      </c>
      <c r="F65" s="81">
        <v>0</v>
      </c>
      <c r="G65" s="58"/>
      <c r="H65" s="97"/>
      <c r="J65" s="60"/>
      <c r="K65" s="60"/>
    </row>
    <row r="66" spans="1:11" ht="15">
      <c r="A66" s="84">
        <f>+A65+1</f>
        <v>40</v>
      </c>
      <c r="B66" s="1179" t="s">
        <v>744</v>
      </c>
      <c r="C66" s="697" t="s">
        <v>745</v>
      </c>
      <c r="D66" s="698">
        <v>0</v>
      </c>
      <c r="E66" s="75">
        <f>+D66</f>
        <v>0</v>
      </c>
      <c r="F66" s="81">
        <v>0</v>
      </c>
      <c r="G66" s="58"/>
      <c r="H66" s="97"/>
      <c r="J66" s="60"/>
      <c r="K66" s="60"/>
    </row>
    <row r="67" spans="1:11" ht="15">
      <c r="A67" s="84">
        <f>+A66+1</f>
        <v>41</v>
      </c>
      <c r="B67" s="1179" t="s">
        <v>746</v>
      </c>
      <c r="C67" s="697" t="s">
        <v>747</v>
      </c>
      <c r="D67" s="698">
        <v>0</v>
      </c>
      <c r="E67" s="75">
        <f>+D67</f>
        <v>0</v>
      </c>
      <c r="F67" s="81">
        <v>0</v>
      </c>
      <c r="G67" s="58"/>
      <c r="H67" s="97"/>
      <c r="J67" s="60"/>
      <c r="K67" s="60"/>
    </row>
    <row r="68" spans="1:7" ht="15">
      <c r="A68" s="84">
        <f>+A67+1</f>
        <v>42</v>
      </c>
      <c r="B68" s="1179" t="s">
        <v>748</v>
      </c>
      <c r="C68" s="697" t="s">
        <v>490</v>
      </c>
      <c r="D68" s="698">
        <v>0</v>
      </c>
      <c r="E68" s="75">
        <v>0</v>
      </c>
      <c r="F68" s="81">
        <f>D68</f>
        <v>0</v>
      </c>
      <c r="G68" s="69"/>
    </row>
    <row r="69" spans="1:7" ht="15">
      <c r="A69" s="84"/>
      <c r="B69" s="69"/>
      <c r="C69" s="69"/>
      <c r="D69" s="69"/>
      <c r="E69" s="69"/>
      <c r="F69" s="69"/>
      <c r="G69" s="69"/>
    </row>
    <row r="70" spans="1:7" ht="15.75">
      <c r="A70" s="84">
        <f>+A68+1</f>
        <v>43</v>
      </c>
      <c r="B70" s="69"/>
      <c r="C70" s="232" t="s">
        <v>641</v>
      </c>
      <c r="D70" s="88">
        <f>SUM(D65:D69)</f>
        <v>5</v>
      </c>
      <c r="E70" s="88">
        <f>SUM(E65:E69)</f>
        <v>5</v>
      </c>
      <c r="F70" s="88">
        <f>SUM(F65:F69)</f>
        <v>0</v>
      </c>
      <c r="G70" s="59"/>
    </row>
    <row r="71" spans="1:7" ht="15">
      <c r="A71" s="84"/>
      <c r="B71" s="120"/>
      <c r="C71" s="52"/>
      <c r="D71" s="52"/>
      <c r="E71" s="52"/>
      <c r="F71" s="52"/>
      <c r="G71" s="52"/>
    </row>
    <row r="72" spans="1:6" ht="12.75">
      <c r="A72" s="233"/>
      <c r="B72"/>
      <c r="C72"/>
      <c r="D72"/>
      <c r="E72"/>
      <c r="F72"/>
    </row>
    <row r="73" spans="1:6" ht="12.75">
      <c r="A73" s="233"/>
      <c r="B73"/>
      <c r="C73"/>
      <c r="D73"/>
      <c r="E73"/>
      <c r="F73"/>
    </row>
  </sheetData>
  <sheetProtection password="CA99" sheet="1" objects="1" scenarios="1"/>
  <mergeCells count="6">
    <mergeCell ref="A1:G1"/>
    <mergeCell ref="A6:G6"/>
    <mergeCell ref="A5:F5"/>
    <mergeCell ref="A2:G2"/>
    <mergeCell ref="A3:G3"/>
    <mergeCell ref="A4:G4"/>
  </mergeCells>
  <printOptions/>
  <pageMargins left="1.27" right="1.28" top="0.8" bottom="0.67" header="0.75" footer="0.4"/>
  <pageSetup fitToHeight="1" fitToWidth="1" horizontalDpi="600" verticalDpi="600" orientation="landscape" scale="48"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sheetPr>
    <tabColor rgb="FFCCFFFF"/>
    <pageSetUpPr fitToPage="1"/>
  </sheetPr>
  <dimension ref="A1:O239"/>
  <sheetViews>
    <sheetView zoomScalePageLayoutView="0" workbookViewId="0" topLeftCell="A1">
      <selection activeCell="B31" sqref="B31"/>
    </sheetView>
  </sheetViews>
  <sheetFormatPr defaultColWidth="9.140625" defaultRowHeight="12.75"/>
  <cols>
    <col min="2" max="2" width="32.57421875" style="0" customWidth="1"/>
    <col min="5" max="5" width="15.00390625" style="0" customWidth="1"/>
    <col min="6" max="6" width="12.85156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spans="1:8" ht="15">
      <c r="A1" s="1250" t="str">
        <f>TCOS!$F$3</f>
        <v>AEPTCo subsidiaries in PJM</v>
      </c>
      <c r="B1" s="1250" t="str">
        <f>TCOS!$F$3</f>
        <v>AEPTCo subsidiaries in PJM</v>
      </c>
      <c r="C1" s="1250" t="str">
        <f>TCOS!$F$3</f>
        <v>AEPTCo subsidiaries in PJM</v>
      </c>
      <c r="D1" s="1250" t="str">
        <f>TCOS!$F$3</f>
        <v>AEPTCo subsidiaries in PJM</v>
      </c>
      <c r="E1" s="1250" t="str">
        <f>TCOS!$F$3</f>
        <v>AEPTCo subsidiaries in PJM</v>
      </c>
      <c r="F1" s="1250" t="str">
        <f>TCOS!$F$3</f>
        <v>AEPTCo subsidiaries in PJM</v>
      </c>
      <c r="G1" s="1250" t="str">
        <f>TCOS!$F$3</f>
        <v>AEPTCo subsidiaries in PJM</v>
      </c>
      <c r="H1" s="1250" t="str">
        <f>TCOS!$F$3</f>
        <v>AEPTCo subsidiaries in PJM</v>
      </c>
    </row>
    <row r="2" spans="1:8" ht="15">
      <c r="A2" s="1251" t="str">
        <f>"Cost of Service Formula Rate Using Actual/Projected FF1 Balances"</f>
        <v>Cost of Service Formula Rate Using Actual/Projected FF1 Balances</v>
      </c>
      <c r="B2" s="1251"/>
      <c r="C2" s="1251"/>
      <c r="D2" s="1251"/>
      <c r="E2" s="1251"/>
      <c r="F2" s="1251"/>
      <c r="G2" s="1251"/>
      <c r="H2" s="1251"/>
    </row>
    <row r="3" spans="1:8" ht="15">
      <c r="A3" s="1251" t="s">
        <v>502</v>
      </c>
      <c r="B3" s="1251"/>
      <c r="C3" s="1251"/>
      <c r="D3" s="1251"/>
      <c r="E3" s="1251"/>
      <c r="F3" s="1251"/>
      <c r="G3" s="1251"/>
      <c r="H3" s="1251"/>
    </row>
    <row r="4" spans="1:7" ht="15">
      <c r="A4" s="1254" t="str">
        <f>+'WS A  - RB Support '!A4:F4</f>
        <v>AEP APPALACHIAN TRANSMISSION COMPANY</v>
      </c>
      <c r="B4" s="1254"/>
      <c r="C4" s="1254"/>
      <c r="D4" s="1254"/>
      <c r="E4" s="1254"/>
      <c r="F4" s="1254"/>
      <c r="G4" s="1254"/>
    </row>
    <row r="5" spans="1:15" ht="12.75" customHeight="1">
      <c r="A5" s="49"/>
      <c r="B5" s="55"/>
      <c r="C5" s="55"/>
      <c r="D5" s="55"/>
      <c r="E5" s="55"/>
      <c r="F5" s="55"/>
      <c r="G5" s="55"/>
      <c r="H5" s="55"/>
      <c r="I5" s="55"/>
      <c r="J5" s="55"/>
      <c r="O5" s="45"/>
    </row>
    <row r="6" spans="1:6" ht="12.75" customHeight="1">
      <c r="A6" s="49"/>
      <c r="B6" s="70"/>
      <c r="C6" s="6"/>
      <c r="D6" s="6"/>
      <c r="E6" s="6"/>
      <c r="F6" s="6"/>
    </row>
    <row r="7" spans="1:12" ht="15">
      <c r="A7" s="290">
        <v>1</v>
      </c>
      <c r="B7" s="47" t="s">
        <v>937</v>
      </c>
      <c r="C7" s="68"/>
      <c r="D7" s="71"/>
      <c r="E7" s="699">
        <v>0.065</v>
      </c>
      <c r="F7" s="6"/>
      <c r="G7" s="54"/>
      <c r="H7" s="54"/>
      <c r="L7" s="53"/>
    </row>
    <row r="8" spans="1:12" ht="15">
      <c r="A8" s="53"/>
      <c r="B8" s="47" t="s">
        <v>956</v>
      </c>
      <c r="C8" s="68"/>
      <c r="D8" s="68"/>
      <c r="E8" s="700">
        <v>0</v>
      </c>
      <c r="F8" s="6"/>
      <c r="G8" s="54"/>
      <c r="H8" s="54"/>
      <c r="L8" s="53"/>
    </row>
    <row r="9" spans="1:12" ht="15">
      <c r="A9" s="53"/>
      <c r="B9" s="47" t="s">
        <v>330</v>
      </c>
      <c r="C9" s="68"/>
      <c r="D9" s="68"/>
      <c r="E9" s="50"/>
      <c r="F9" s="72">
        <f>ROUND(E7*E8,4)</f>
        <v>0</v>
      </c>
      <c r="G9" s="54"/>
      <c r="L9" s="53"/>
    </row>
    <row r="10" spans="1:12" ht="15">
      <c r="A10" s="53"/>
      <c r="B10" s="47"/>
      <c r="C10" s="68"/>
      <c r="D10" s="68"/>
      <c r="E10" s="50"/>
      <c r="F10" s="72"/>
      <c r="G10" s="54"/>
      <c r="L10" s="53"/>
    </row>
    <row r="11" spans="1:12" ht="15">
      <c r="A11" s="53">
        <f>A7+1</f>
        <v>2</v>
      </c>
      <c r="B11" s="47" t="s">
        <v>938</v>
      </c>
      <c r="C11" s="68"/>
      <c r="D11" s="71"/>
      <c r="E11" s="699">
        <v>0.06</v>
      </c>
      <c r="F11" s="6"/>
      <c r="G11" s="54"/>
      <c r="L11" s="53"/>
    </row>
    <row r="12" spans="1:12" ht="15">
      <c r="A12" s="53"/>
      <c r="B12" s="47" t="s">
        <v>956</v>
      </c>
      <c r="C12" s="68"/>
      <c r="D12" s="68"/>
      <c r="E12" s="700">
        <v>1</v>
      </c>
      <c r="F12" s="6"/>
      <c r="G12" s="54"/>
      <c r="L12" s="53"/>
    </row>
    <row r="13" spans="1:12" ht="15">
      <c r="A13" s="53"/>
      <c r="B13" s="47" t="s">
        <v>330</v>
      </c>
      <c r="C13" s="68"/>
      <c r="D13" s="68"/>
      <c r="E13" s="50"/>
      <c r="F13" s="72">
        <f>ROUND(E11*E12,4)</f>
        <v>0.06</v>
      </c>
      <c r="G13" s="54"/>
      <c r="L13" s="53"/>
    </row>
    <row r="14" spans="1:12" ht="15">
      <c r="A14" s="53"/>
      <c r="B14" s="47"/>
      <c r="C14" s="68"/>
      <c r="D14" s="68"/>
      <c r="E14" s="50"/>
      <c r="F14" s="72"/>
      <c r="G14" s="54"/>
      <c r="L14" s="53"/>
    </row>
    <row r="15" spans="1:12" ht="15">
      <c r="A15" s="53">
        <f>A11+1</f>
        <v>3</v>
      </c>
      <c r="B15" s="701" t="s">
        <v>157</v>
      </c>
      <c r="C15" s="68"/>
      <c r="D15" s="71"/>
      <c r="E15" s="699">
        <v>0</v>
      </c>
      <c r="F15" s="6"/>
      <c r="G15" s="54"/>
      <c r="L15" s="53"/>
    </row>
    <row r="16" spans="1:12" ht="15">
      <c r="A16" s="53"/>
      <c r="B16" s="47" t="s">
        <v>956</v>
      </c>
      <c r="C16" s="68"/>
      <c r="D16" s="68"/>
      <c r="E16" s="700">
        <v>0</v>
      </c>
      <c r="F16" s="6"/>
      <c r="G16" s="54"/>
      <c r="L16" s="53"/>
    </row>
    <row r="17" spans="1:12" ht="15">
      <c r="A17" s="53"/>
      <c r="B17" s="47" t="s">
        <v>330</v>
      </c>
      <c r="C17" s="68"/>
      <c r="D17" s="68"/>
      <c r="E17" s="50"/>
      <c r="F17" s="72">
        <f>ROUND(E15*E16,4)</f>
        <v>0</v>
      </c>
      <c r="G17" s="54"/>
      <c r="L17" s="53"/>
    </row>
    <row r="18" spans="1:12" ht="15">
      <c r="A18" s="53"/>
      <c r="B18" s="47"/>
      <c r="C18" s="68"/>
      <c r="D18" s="68"/>
      <c r="E18" s="50"/>
      <c r="F18" s="72"/>
      <c r="G18" s="54"/>
      <c r="L18" s="53"/>
    </row>
    <row r="19" spans="1:12" ht="15">
      <c r="A19" s="53">
        <f>A15+1</f>
        <v>4</v>
      </c>
      <c r="B19" s="701" t="s">
        <v>157</v>
      </c>
      <c r="C19" s="68"/>
      <c r="D19" s="71"/>
      <c r="E19" s="699">
        <v>0</v>
      </c>
      <c r="F19" s="6"/>
      <c r="G19" s="54"/>
      <c r="L19" s="53"/>
    </row>
    <row r="20" spans="1:12" ht="15">
      <c r="A20" s="53"/>
      <c r="B20" s="47" t="s">
        <v>956</v>
      </c>
      <c r="C20" s="68"/>
      <c r="D20" s="68"/>
      <c r="E20" s="700">
        <v>0</v>
      </c>
      <c r="F20" s="6"/>
      <c r="G20" s="54"/>
      <c r="L20" s="53"/>
    </row>
    <row r="21" spans="1:12" ht="15">
      <c r="A21" s="53"/>
      <c r="B21" s="47" t="s">
        <v>330</v>
      </c>
      <c r="C21" s="68"/>
      <c r="D21" s="68"/>
      <c r="E21" s="50"/>
      <c r="F21" s="72">
        <f>ROUND(E19*E20,4)</f>
        <v>0</v>
      </c>
      <c r="G21" s="54"/>
      <c r="L21" s="53"/>
    </row>
    <row r="22" spans="1:12" ht="15">
      <c r="A22" s="53"/>
      <c r="B22" s="47"/>
      <c r="C22" s="68"/>
      <c r="D22" s="68"/>
      <c r="E22" s="50"/>
      <c r="F22" s="72"/>
      <c r="G22" s="54"/>
      <c r="L22" s="53"/>
    </row>
    <row r="23" spans="1:12" ht="15">
      <c r="A23" s="53">
        <f>A19+1</f>
        <v>5</v>
      </c>
      <c r="B23" s="701" t="s">
        <v>157</v>
      </c>
      <c r="C23" s="68"/>
      <c r="D23" s="71"/>
      <c r="E23" s="699">
        <v>0</v>
      </c>
      <c r="F23" s="73"/>
      <c r="G23" s="54"/>
      <c r="L23" s="53"/>
    </row>
    <row r="24" spans="1:12" ht="15">
      <c r="A24" s="53"/>
      <c r="B24" s="47" t="s">
        <v>956</v>
      </c>
      <c r="C24" s="68"/>
      <c r="D24" s="68"/>
      <c r="E24" s="700">
        <v>0</v>
      </c>
      <c r="F24" s="73"/>
      <c r="G24" s="54"/>
      <c r="L24" s="53"/>
    </row>
    <row r="25" spans="1:12" ht="15">
      <c r="A25" s="53"/>
      <c r="B25" s="47" t="s">
        <v>330</v>
      </c>
      <c r="C25" s="68"/>
      <c r="D25" s="68"/>
      <c r="E25" s="50"/>
      <c r="F25" s="72">
        <f>ROUND(E23*E24,4)</f>
        <v>0</v>
      </c>
      <c r="G25" s="54"/>
      <c r="L25" s="53"/>
    </row>
    <row r="26" spans="1:12" ht="15">
      <c r="A26" s="53"/>
      <c r="B26" s="47"/>
      <c r="C26" s="68"/>
      <c r="D26" s="68"/>
      <c r="E26" s="68"/>
      <c r="F26" s="73"/>
      <c r="G26" s="54"/>
      <c r="L26" s="53"/>
    </row>
    <row r="27" spans="1:12" ht="15.75" thickBot="1">
      <c r="A27" s="53"/>
      <c r="B27" s="50" t="s">
        <v>739</v>
      </c>
      <c r="C27" s="50"/>
      <c r="D27" s="50"/>
      <c r="E27" s="50"/>
      <c r="F27" s="155">
        <f>ROUND(SUM(F9:F26),4)</f>
        <v>0.06</v>
      </c>
      <c r="G27" s="54"/>
      <c r="L27" s="53"/>
    </row>
    <row r="28" spans="1:12" ht="13.5" thickTop="1">
      <c r="A28" s="53"/>
      <c r="G28" s="52"/>
      <c r="L28" s="53"/>
    </row>
    <row r="29" spans="1:12" ht="12.75">
      <c r="A29" s="53"/>
      <c r="G29" s="52"/>
      <c r="H29" s="52"/>
      <c r="L29" s="53"/>
    </row>
    <row r="30" spans="1:12" ht="12.75">
      <c r="A30" s="53"/>
      <c r="G30" s="52"/>
      <c r="H30" s="52"/>
      <c r="L30" s="53"/>
    </row>
    <row r="31" spans="1:12" ht="12.75" customHeight="1">
      <c r="A31" s="53"/>
      <c r="C31" s="50"/>
      <c r="D31" s="50"/>
      <c r="E31" s="50"/>
      <c r="F31" s="50"/>
      <c r="G31" s="52"/>
      <c r="H31" s="52"/>
      <c r="L31" s="53"/>
    </row>
    <row r="32" spans="1:12" ht="12.75">
      <c r="A32" s="35" t="s">
        <v>431</v>
      </c>
      <c r="B32" s="35" t="s">
        <v>275</v>
      </c>
      <c r="C32" s="35"/>
      <c r="D32" s="35"/>
      <c r="E32" s="35"/>
      <c r="F32" s="35"/>
      <c r="G32" s="35"/>
      <c r="H32" s="52"/>
      <c r="I32" s="52"/>
      <c r="L32" s="52"/>
    </row>
    <row r="239" ht="12.75">
      <c r="B239" t="s">
        <v>87</v>
      </c>
    </row>
  </sheetData>
  <sheetProtection password="CA99" sheet="1" objects="1" scenarios="1"/>
  <mergeCells count="4">
    <mergeCell ref="A4:G4"/>
    <mergeCell ref="A1:H1"/>
    <mergeCell ref="A2:H2"/>
    <mergeCell ref="A3:H3"/>
  </mergeCells>
  <printOptions/>
  <pageMargins left="0.26" right="1.28" top="1" bottom="1" header="0.75" footer="0.5"/>
  <pageSetup fitToHeight="1" fitToWidth="1" horizontalDpi="600" verticalDpi="600" orientation="portrait" scale="89"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Heintz - Weiss - Munsey</dc:creator>
  <cp:keywords/>
  <dc:description/>
  <cp:lastModifiedBy>AEP</cp:lastModifiedBy>
  <cp:lastPrinted>2017-03-02T21:04:47Z</cp:lastPrinted>
  <dcterms:created xsi:type="dcterms:W3CDTF">2005-06-15T14:56:19Z</dcterms:created>
  <dcterms:modified xsi:type="dcterms:W3CDTF">2017-03-10T18:21:33Z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948954949</vt:i4>
  </property>
  <property fmtid="{D5CDD505-2E9C-101B-9397-08002B2CF9AE}" pid="3" name="_NewReviewCycle">
    <vt:lpwstr/>
  </property>
  <property fmtid="{D5CDD505-2E9C-101B-9397-08002B2CF9AE}" pid="4" name="_EmailSubject">
    <vt:lpwstr>ER10-355  AEPTCo West SPP Templates and Update East Template </vt:lpwstr>
  </property>
  <property fmtid="{D5CDD505-2E9C-101B-9397-08002B2CF9AE}" pid="5" name="_AuthorEmail">
    <vt:lpwstr>James.Keegan@ferc.gov</vt:lpwstr>
  </property>
  <property fmtid="{D5CDD505-2E9C-101B-9397-08002B2CF9AE}" pid="6" name="_AuthorEmailDisplayName">
    <vt:lpwstr>James Keegan</vt:lpwstr>
  </property>
  <property fmtid="{D5CDD505-2E9C-101B-9397-08002B2CF9AE}" pid="7" name="_PreviousAdHocReviewCycleID">
    <vt:i4>913729168</vt:i4>
  </property>
  <property fmtid="{D5CDD505-2E9C-101B-9397-08002B2CF9AE}" pid="8" name="_ReviewingToolsShownOnce">
    <vt:lpwstr/>
  </property>
</Properties>
</file>